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970"/>
  </bookViews>
  <sheets>
    <sheet name="СФТК" sheetId="1" r:id="rId1"/>
    <sheet name="Лист1" sheetId="4" state="hidden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D22" i="1"/>
  <c r="P31" i="1"/>
  <c r="E38" i="4" l="1"/>
  <c r="E39" i="4" s="1"/>
  <c r="B31" i="1" l="1"/>
  <c r="B42" i="1"/>
  <c r="Q41" i="1"/>
  <c r="F30" i="1" l="1"/>
  <c r="B32" i="1"/>
  <c r="D30" i="1"/>
  <c r="B40" i="1"/>
  <c r="B41" i="1"/>
  <c r="K8" i="4" s="1"/>
  <c r="F43" i="1" l="1"/>
  <c r="I41" i="1"/>
  <c r="F41" i="1"/>
  <c r="F39" i="4" l="1"/>
  <c r="F38" i="4"/>
  <c r="F34" i="1" s="1"/>
  <c r="E8" i="4"/>
  <c r="D21" i="1"/>
  <c r="D20" i="1"/>
  <c r="D19" i="1"/>
  <c r="V16" i="1"/>
  <c r="R16" i="1"/>
  <c r="N16" i="1"/>
  <c r="J16" i="1"/>
  <c r="F16" i="1"/>
  <c r="V13" i="1"/>
  <c r="R13" i="1"/>
  <c r="N13" i="1"/>
  <c r="J13" i="1"/>
  <c r="F13" i="1"/>
  <c r="D36" i="1" l="1"/>
  <c r="D23" i="1"/>
  <c r="D41" i="1" s="1"/>
  <c r="D43" i="1" l="1"/>
  <c r="D35" i="1"/>
  <c r="D28" i="1"/>
  <c r="D34" i="1"/>
  <c r="F46" i="1"/>
  <c r="F44" i="1" l="1"/>
  <c r="F45" i="1"/>
  <c r="J46" i="1" l="1"/>
  <c r="J45" i="1"/>
  <c r="J44" i="1"/>
  <c r="F28" i="1"/>
  <c r="L40" i="1" l="1"/>
  <c r="F40" i="1"/>
  <c r="P45" i="1"/>
  <c r="T45" i="1" s="1"/>
  <c r="N45" i="1"/>
  <c r="P44" i="1"/>
  <c r="T44" i="1" s="1"/>
  <c r="N44" i="1"/>
  <c r="P46" i="1"/>
  <c r="T46" i="1" s="1"/>
  <c r="N46" i="1"/>
  <c r="Q40" i="1"/>
  <c r="G40" i="1"/>
  <c r="D37" i="1"/>
  <c r="J37" i="1" s="1"/>
  <c r="J36" i="1" l="1"/>
  <c r="D38" i="1"/>
  <c r="J38" i="1" s="1"/>
  <c r="J30" i="1" l="1"/>
  <c r="N30" i="1" s="1"/>
  <c r="J34" i="1"/>
  <c r="N34" i="1" s="1"/>
  <c r="J35" i="1"/>
  <c r="P35" i="1" s="1"/>
  <c r="D40" i="1"/>
  <c r="J40" i="1" s="1"/>
  <c r="D31" i="1"/>
  <c r="J31" i="1" s="1"/>
  <c r="J28" i="1"/>
  <c r="T31" i="1" l="1"/>
  <c r="N31" i="1"/>
  <c r="N35" i="1"/>
  <c r="T35" i="1"/>
  <c r="F13" i="4"/>
  <c r="F12" i="4"/>
  <c r="J41" i="1"/>
  <c r="N41" i="1" s="1"/>
  <c r="D32" i="1"/>
  <c r="J32" i="1" s="1"/>
  <c r="J43" i="1"/>
  <c r="P43" i="1" s="1"/>
  <c r="T43" i="1" s="1"/>
  <c r="N40" i="1"/>
  <c r="P28" i="1"/>
  <c r="T28" i="1" s="1"/>
  <c r="N28" i="1"/>
  <c r="P30" i="1"/>
  <c r="T30" i="1" s="1"/>
  <c r="P34" i="1"/>
  <c r="T34" i="1" s="1"/>
  <c r="P41" i="1" l="1"/>
  <c r="T41" i="1" s="1"/>
  <c r="P40" i="1"/>
  <c r="T40" i="1" s="1"/>
  <c r="N43" i="1"/>
  <c r="N47" i="1" l="1"/>
  <c r="T47" i="1"/>
  <c r="T49" i="1" l="1"/>
  <c r="T50" i="1" s="1"/>
</calcChain>
</file>

<file path=xl/comments1.xml><?xml version="1.0" encoding="utf-8"?>
<comments xmlns="http://schemas.openxmlformats.org/spreadsheetml/2006/main">
  <authors>
    <author>Автор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умолчанию считается из габаритов за вычетом оконных и дверных проёмов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суммарная длина всех ветикальных откосов оконных и дверных проёмов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суммарная длина всех откосов над оконными и дверными проемами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суммарная длина всех нижних горизонтальных откосов оконных проёмов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=100мм при отсутствии теплоизоляции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наносится по периметру плит теплоизоляции</t>
        </r>
      </text>
    </comment>
    <comment ref="J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умолчанию считает 4 внешних угла с нахлестом = толщине ваты</t>
        </r>
      </text>
    </comment>
    <comment ref="B3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включает толщину ваты и толщину клеевого слоя
* конечная длина зависит от натурных испытаний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на площади фасада и на всех откосах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для вертикальных и нижних горизонтальных откосов + на внешних углах здания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для верхних горизонтальных откосов 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применяется на вертикальных и верхних горизонтальных откосах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обязательна для минеральной штукатурки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зависит от толщины и зерна декоративного слоя</t>
        </r>
      </text>
    </comment>
  </commentList>
</comments>
</file>

<file path=xl/sharedStrings.xml><?xml version="1.0" encoding="utf-8"?>
<sst xmlns="http://schemas.openxmlformats.org/spreadsheetml/2006/main" count="282" uniqueCount="130">
  <si>
    <t>Длина вертикальных откосов</t>
  </si>
  <si>
    <t>Длина верхних горизонтальных откосов</t>
  </si>
  <si>
    <t>Длина нижних горизонтальных откосов</t>
  </si>
  <si>
    <t>Глубина откосов</t>
  </si>
  <si>
    <t>Площадь откосов</t>
  </si>
  <si>
    <t>Толщина ваты</t>
  </si>
  <si>
    <t>м2</t>
  </si>
  <si>
    <t>мп</t>
  </si>
  <si>
    <t>Габариты окон</t>
  </si>
  <si>
    <t>шт.</t>
  </si>
  <si>
    <t>тип 1</t>
  </si>
  <si>
    <t>тип 2</t>
  </si>
  <si>
    <t>тип 3</t>
  </si>
  <si>
    <t>тип 4</t>
  </si>
  <si>
    <t>тип 5</t>
  </si>
  <si>
    <t>Габариты дверей</t>
  </si>
  <si>
    <t>S, м2</t>
  </si>
  <si>
    <t>Наименование материала</t>
  </si>
  <si>
    <t>Ед. изм.</t>
  </si>
  <si>
    <t>Расход</t>
  </si>
  <si>
    <t>Ед.изм.</t>
  </si>
  <si>
    <t>Толщина слоя, мм</t>
  </si>
  <si>
    <t>Объём п/п</t>
  </si>
  <si>
    <t>Кол-во</t>
  </si>
  <si>
    <t>Подготовка основания</t>
  </si>
  <si>
    <t>Монтаж теплоизоляции</t>
  </si>
  <si>
    <t xml:space="preserve"> - </t>
  </si>
  <si>
    <t>мп/мп</t>
  </si>
  <si>
    <t>шт./м2</t>
  </si>
  <si>
    <t>м2/м2</t>
  </si>
  <si>
    <t>кг/м2</t>
  </si>
  <si>
    <t>Устройство армирующего слоя</t>
  </si>
  <si>
    <t>кг</t>
  </si>
  <si>
    <t>меш.</t>
  </si>
  <si>
    <t>1 слой</t>
  </si>
  <si>
    <t>Профиль самоклеющийся оконный с армирующей сеткой 6 мм/9 мм</t>
  </si>
  <si>
    <t>Профиль угловой ПВХ с армирующей сеткой 10х15см</t>
  </si>
  <si>
    <t>Профиль угловой ПВХ с армирующей сеткой и капельником</t>
  </si>
  <si>
    <t>расход</t>
  </si>
  <si>
    <t>л</t>
  </si>
  <si>
    <t>л/м2</t>
  </si>
  <si>
    <t>кан.</t>
  </si>
  <si>
    <t>вед.</t>
  </si>
  <si>
    <t>Декоративный слой</t>
  </si>
  <si>
    <t>толщина</t>
  </si>
  <si>
    <t>ед.изм.</t>
  </si>
  <si>
    <t>тара</t>
  </si>
  <si>
    <t>Краска</t>
  </si>
  <si>
    <t>Фасадная силиконовая краска weber.ton micro V (25 кг)</t>
  </si>
  <si>
    <t>Силикатная фасадная краска weber.ton silikat (25 кг)</t>
  </si>
  <si>
    <t xml:space="preserve">цвет 1 </t>
  </si>
  <si>
    <t xml:space="preserve">цвет 3 </t>
  </si>
  <si>
    <t xml:space="preserve">цвет 4 </t>
  </si>
  <si>
    <t xml:space="preserve">цвет 2 </t>
  </si>
  <si>
    <t>2 слоя</t>
  </si>
  <si>
    <t>кол-во</t>
  </si>
  <si>
    <t>Устройство защитно-декоративного слоя</t>
  </si>
  <si>
    <t>Минвата</t>
  </si>
  <si>
    <t>м3</t>
  </si>
  <si>
    <t>расход клея</t>
  </si>
  <si>
    <t>расход базы</t>
  </si>
  <si>
    <t>ППС / ЭППС</t>
  </si>
  <si>
    <t>утепление</t>
  </si>
  <si>
    <t>да</t>
  </si>
  <si>
    <t>нет</t>
  </si>
  <si>
    <t>откосы</t>
  </si>
  <si>
    <t>рул.</t>
  </si>
  <si>
    <t>Итого</t>
  </si>
  <si>
    <t>Площадь утепляемого фасада (по проекту)</t>
  </si>
  <si>
    <t>длина, м</t>
  </si>
  <si>
    <t>высота, м</t>
  </si>
  <si>
    <t>Фасадная тонирующуя грунтовка vetonit prim Uni (25 кг)</t>
  </si>
  <si>
    <t>Грунтовка для подготовки основания vetonit prim optimus (10 л)</t>
  </si>
  <si>
    <t>Система:</t>
  </si>
  <si>
    <t>Система</t>
  </si>
  <si>
    <t>Премиум</t>
  </si>
  <si>
    <t>декоративка</t>
  </si>
  <si>
    <t>Тип декоративки</t>
  </si>
  <si>
    <t>Минеральная</t>
  </si>
  <si>
    <t>Полимерная</t>
  </si>
  <si>
    <t>Минеральная декоративная штукатурка vetonit min decor (25 кг)</t>
  </si>
  <si>
    <t>Тип декоративной штукатурки:</t>
  </si>
  <si>
    <t>Фактура:</t>
  </si>
  <si>
    <t>1.5мм "шуба"</t>
  </si>
  <si>
    <t>2.0мм "шуба"</t>
  </si>
  <si>
    <t>2.0мм "короед"</t>
  </si>
  <si>
    <t>min</t>
  </si>
  <si>
    <t xml:space="preserve"> extraClean</t>
  </si>
  <si>
    <t>Silikon</t>
  </si>
  <si>
    <t>Akrylat</t>
  </si>
  <si>
    <t>0.5мм "шуба"</t>
  </si>
  <si>
    <t>Армировочно-клеевая смесь vetonit teplofacade (20 кг)</t>
  </si>
  <si>
    <t>Минеральная декоративная штукатурка vetonit min decor (25 кг)1.5мм "шуба"</t>
  </si>
  <si>
    <t>Минеральная декоративная штукатурка vetonit min decor (25 кг)2.0мм "шуба"</t>
  </si>
  <si>
    <t>Минеральная декоративная штукатурка vetonit min decor (25 кг)2.0мм "короед"</t>
  </si>
  <si>
    <t>Силикатно-силиконовая декоративная штукатурка vetonit pas ExtraClean (25 кг)1.5мм "шуба"</t>
  </si>
  <si>
    <t>Силикатно-силиконовая декоративная штукатурка vetonit pas ExtraClean (25 кг)2.0мм "шуба"</t>
  </si>
  <si>
    <t>Силикатно-силиконовая декоративная штукатурка vetonit pas ExtraClean (25 кг)2.0мм "короед"</t>
  </si>
  <si>
    <t>Силикатно-силиконовая декоративная штукатурка vetonit pas ExtraClean (25 кг)</t>
  </si>
  <si>
    <t>Силиконовая декоративная штукатурка vetonit pas silikon (25 кг)0.5мм "шуба"</t>
  </si>
  <si>
    <t>Силиконовая декоративная штукатурка vetonit pas silikon (25 кг)1.5мм "шуба"</t>
  </si>
  <si>
    <t>Силиконовая декоративная штукатурка vetonit pas silikon (25 кг)2.0мм "шуба"</t>
  </si>
  <si>
    <t>Силиконовая декоративная штукатурка vetonit pas silikon (25 кг)2.0мм "короед"</t>
  </si>
  <si>
    <t>Силиконовая декоративная штукатурка vetonit pas silikon (25 кг)</t>
  </si>
  <si>
    <t>Акриловая декоративная штукатурка vetonit pas akrylat (25 кг)</t>
  </si>
  <si>
    <t>Акриловая декоративная штукатурка vetonit pas akrylat (25 кг)1.5мм "шуба"</t>
  </si>
  <si>
    <t>Акриловая декоративная штукатурка vetonit pas akrylat (25 кг)2.0мм "шуба"</t>
  </si>
  <si>
    <t>Акриловая декоративная штукатурка vetonit pas akrylat (25 кг)2.0мм "короед"</t>
  </si>
  <si>
    <t>система</t>
  </si>
  <si>
    <t>краска</t>
  </si>
  <si>
    <t>Стоимость</t>
  </si>
  <si>
    <t xml:space="preserve">Цена </t>
  </si>
  <si>
    <t xml:space="preserve">Кол-во </t>
  </si>
  <si>
    <t>за единицу измерения</t>
  </si>
  <si>
    <t>кратно упаковкам</t>
  </si>
  <si>
    <t xml:space="preserve"> -</t>
  </si>
  <si>
    <t>Исходные данные (ввести числовое значение)</t>
  </si>
  <si>
    <t>Исходные данные (выбрать из выпадающего списка)</t>
  </si>
  <si>
    <t>мм</t>
  </si>
  <si>
    <t>Минеральная вата ISOVER Фасад Мастер</t>
  </si>
  <si>
    <t>Фасадная акриловая краска vetonit ton akrylat (25 кг)</t>
  </si>
  <si>
    <t>Фасадная силикатно-силиконовая краска vetonit ton silikat (25 кг)</t>
  </si>
  <si>
    <t>Фасадная силиконовая краска vetonit ton silikon fibra (25 кг)</t>
  </si>
  <si>
    <t>Базовый</t>
  </si>
  <si>
    <t>Оптимальный</t>
  </si>
  <si>
    <t>Сетка фасадная vetonit facade 2000 (50 м2)</t>
  </si>
  <si>
    <t>Сумма скидки</t>
  </si>
  <si>
    <t>Скидка, %</t>
  </si>
  <si>
    <t>Итого с учетом скидки</t>
  </si>
  <si>
    <t>Пароль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</si>
</sst>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&quot;р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  <font>
      <sz val="11"/>
      <color theme="0" tint="-0.249977111117893"/>
      <name val="Calibri Light"/>
      <family val="2"/>
      <charset val="204"/>
      <scheme val="major"/>
    </font>
    <font>
      <sz val="11"/>
      <color theme="2" tint="-0.249977111117893"/>
      <name val="Calibri Light"/>
      <family val="2"/>
      <charset val="204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0"/>
      <name val="Calibri Light"/>
      <family val="2"/>
      <charset val="204"/>
      <scheme val="major"/>
    </font>
    <font>
      <sz val="11"/>
      <color theme="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0" xfId="0" applyFont="1"/>
    <xf numFmtId="0" fontId="4" fillId="0" borderId="5" xfId="0" applyFont="1" applyBorder="1"/>
    <xf numFmtId="0" fontId="1" fillId="2" borderId="0" xfId="0" applyFont="1" applyFill="1"/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2" fillId="0" borderId="26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165" fontId="5" fillId="5" borderId="28" xfId="0" applyNumberFormat="1" applyFont="1" applyFill="1" applyBorder="1" applyAlignment="1">
      <alignment horizontal="center" vertical="center"/>
    </xf>
    <xf numFmtId="165" fontId="5" fillId="5" borderId="6" xfId="0" applyNumberFormat="1" applyFont="1" applyFill="1" applyBorder="1" applyAlignment="1">
      <alignment horizontal="center" vertical="center"/>
    </xf>
    <xf numFmtId="165" fontId="5" fillId="5" borderId="19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165" fontId="5" fillId="5" borderId="0" xfId="0" applyNumberFormat="1" applyFont="1" applyFill="1" applyBorder="1" applyAlignment="1">
      <alignment horizontal="center" vertical="center"/>
    </xf>
    <xf numFmtId="165" fontId="5" fillId="5" borderId="21" xfId="0" applyNumberFormat="1" applyFont="1" applyFill="1" applyBorder="1" applyAlignment="1">
      <alignment horizontal="center" vertical="center"/>
    </xf>
    <xf numFmtId="165" fontId="5" fillId="5" borderId="29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/>
    </xf>
    <xf numFmtId="165" fontId="5" fillId="5" borderId="24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 vertical="center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12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165" fontId="12" fillId="5" borderId="3" xfId="0" applyNumberFormat="1" applyFont="1" applyFill="1" applyBorder="1" applyAlignment="1">
      <alignment horizontal="center" vertical="center"/>
    </xf>
    <xf numFmtId="165" fontId="12" fillId="5" borderId="12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2" fillId="5" borderId="13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2" fontId="12" fillId="5" borderId="13" xfId="0" applyNumberFormat="1" applyFont="1" applyFill="1" applyBorder="1" applyAlignment="1">
      <alignment horizontal="center"/>
    </xf>
    <xf numFmtId="2" fontId="12" fillId="5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5" borderId="13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3" xfId="0" applyFont="1" applyBorder="1" applyAlignment="1"/>
    <xf numFmtId="0" fontId="1" fillId="0" borderId="1" xfId="0" applyFont="1" applyBorder="1" applyAlignment="1"/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6" fillId="0" borderId="1" xfId="0" applyFont="1" applyBorder="1" applyAlignment="1"/>
    <xf numFmtId="0" fontId="1" fillId="0" borderId="1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0" fontId="11" fillId="7" borderId="1" xfId="0" applyFont="1" applyFill="1" applyBorder="1" applyAlignment="1"/>
    <xf numFmtId="0" fontId="1" fillId="0" borderId="13" xfId="0" applyFont="1" applyBorder="1" applyAlignment="1">
      <alignment horizontal="left" wrapText="1"/>
    </xf>
    <xf numFmtId="0" fontId="0" fillId="0" borderId="0" xfId="0" applyAlignment="1">
      <alignment horizontal="center" vertical="center" textRotation="9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6" borderId="11" xfId="0" applyFont="1" applyFill="1" applyBorder="1" applyAlignment="1" applyProtection="1">
      <alignment horizontal="center"/>
      <protection locked="0"/>
    </xf>
    <xf numFmtId="0" fontId="10" fillId="6" borderId="7" xfId="0" applyFont="1" applyFill="1" applyBorder="1" applyAlignment="1" applyProtection="1">
      <alignment horizontal="center"/>
      <protection locked="0"/>
    </xf>
    <xf numFmtId="0" fontId="10" fillId="6" borderId="12" xfId="0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 vertical="center"/>
      <protection locked="0"/>
    </xf>
    <xf numFmtId="165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2" fillId="6" borderId="11" xfId="0" applyFont="1" applyFill="1" applyBorder="1" applyAlignment="1" applyProtection="1">
      <alignment horizontal="center"/>
      <protection locked="0"/>
    </xf>
    <xf numFmtId="0" fontId="12" fillId="6" borderId="7" xfId="0" applyFont="1" applyFill="1" applyBorder="1" applyAlignment="1" applyProtection="1">
      <alignment horizontal="center"/>
      <protection locked="0"/>
    </xf>
    <xf numFmtId="0" fontId="12" fillId="6" borderId="12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textRotation="90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textRotation="90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5" fontId="4" fillId="0" borderId="0" xfId="0" applyNumberFormat="1" applyFont="1" applyProtection="1">
      <protection locked="0"/>
    </xf>
    <xf numFmtId="0" fontId="12" fillId="0" borderId="13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2" fontId="12" fillId="0" borderId="13" xfId="0" applyNumberFormat="1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14" displayName="Таблица14" ref="C17:C30" totalsRowShown="0" headerRowDxfId="8" dataDxfId="7">
  <autoFilter ref="C17:C30"/>
  <tableColumns count="1">
    <tableColumn id="1" name="Декоративный слой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C7:C9" totalsRowShown="0" headerRowDxfId="5" dataDxfId="4">
  <autoFilter ref="C7:C9"/>
  <tableColumns count="1">
    <tableColumn id="1" name="утепление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32" displayName="Таблица132" ref="C2:C5" totalsRowShown="0" headerRowDxfId="2" dataDxfId="1">
  <autoFilter ref="C2:C5"/>
  <tableColumns count="1">
    <tableColumn id="1" name="Система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50"/>
  <sheetViews>
    <sheetView tabSelected="1" zoomScale="70" zoomScaleNormal="70" workbookViewId="0">
      <selection activeCell="C6" sqref="C6:E6"/>
    </sheetView>
  </sheetViews>
  <sheetFormatPr defaultColWidth="8.7265625" defaultRowHeight="14.5" outlineLevelRow="1" outlineLevelCol="1" x14ac:dyDescent="0.35"/>
  <cols>
    <col min="1" max="1" width="8.7265625" style="1"/>
    <col min="2" max="2" width="56.54296875" style="1" customWidth="1"/>
    <col min="3" max="3" width="2.90625" style="1" customWidth="1"/>
    <col min="4" max="4" width="9.1796875" style="2" customWidth="1"/>
    <col min="5" max="5" width="8.90625" style="2" bestFit="1" customWidth="1"/>
    <col min="6" max="6" width="9.54296875" style="2" bestFit="1" customWidth="1"/>
    <col min="7" max="7" width="3.1796875" style="1" customWidth="1"/>
    <col min="8" max="8" width="8.36328125" style="1" bestFit="1" customWidth="1"/>
    <col min="9" max="9" width="9.26953125" style="2" customWidth="1"/>
    <col min="10" max="10" width="6.26953125" style="1" hidden="1" customWidth="1" outlineLevel="1"/>
    <col min="11" max="11" width="3.453125" style="1" hidden="1" customWidth="1" outlineLevel="1"/>
    <col min="12" max="12" width="12.54296875" style="1" hidden="1" customWidth="1" outlineLevel="1"/>
    <col min="13" max="13" width="8.90625" style="2" hidden="1" customWidth="1" outlineLevel="1"/>
    <col min="14" max="14" width="9.36328125" style="2" hidden="1" customWidth="1" outlineLevel="1"/>
    <col min="15" max="15" width="3.453125" style="1" hidden="1" customWidth="1" outlineLevel="1"/>
    <col min="16" max="16" width="8.36328125" style="1" bestFit="1" customWidth="1" collapsed="1"/>
    <col min="17" max="17" width="8.90625" style="1" bestFit="1" customWidth="1"/>
    <col min="18" max="18" width="5" style="1" bestFit="1" customWidth="1"/>
    <col min="19" max="19" width="3.26953125" style="1" customWidth="1"/>
    <col min="20" max="20" width="10.90625" style="1" bestFit="1" customWidth="1"/>
    <col min="21" max="21" width="8.90625" style="1" hidden="1" customWidth="1"/>
    <col min="22" max="22" width="6.26953125" style="1" hidden="1" customWidth="1"/>
    <col min="23" max="16384" width="8.7265625" style="1"/>
  </cols>
  <sheetData>
    <row r="2" spans="2:29" x14ac:dyDescent="0.35">
      <c r="U2" s="1" t="s">
        <v>129</v>
      </c>
      <c r="V2" s="1">
        <v>4444</v>
      </c>
    </row>
    <row r="3" spans="2:29" x14ac:dyDescent="0.35">
      <c r="B3" s="157" t="s">
        <v>117</v>
      </c>
      <c r="C3" s="157"/>
      <c r="D3" s="157"/>
      <c r="E3" s="157"/>
      <c r="F3" s="143"/>
      <c r="G3" s="143"/>
      <c r="H3" s="144"/>
      <c r="I3" s="145"/>
      <c r="J3" s="144"/>
      <c r="K3" s="144"/>
      <c r="L3" s="144"/>
      <c r="M3" s="145"/>
      <c r="N3" s="145"/>
      <c r="O3" s="144"/>
      <c r="P3" s="144"/>
      <c r="Q3" s="144"/>
      <c r="R3" s="144"/>
      <c r="S3" s="144"/>
      <c r="T3" s="144"/>
    </row>
    <row r="4" spans="2:29" x14ac:dyDescent="0.35">
      <c r="B4" s="158" t="s">
        <v>73</v>
      </c>
      <c r="C4" s="159" t="s">
        <v>123</v>
      </c>
      <c r="D4" s="159"/>
      <c r="E4" s="159"/>
      <c r="F4" s="144"/>
      <c r="G4" s="144"/>
      <c r="H4" s="144"/>
      <c r="I4" s="145"/>
      <c r="J4" s="144"/>
      <c r="K4" s="144"/>
      <c r="L4" s="144"/>
      <c r="M4" s="145"/>
      <c r="N4" s="145"/>
      <c r="O4" s="144"/>
      <c r="P4" s="144"/>
      <c r="Q4" s="144"/>
      <c r="R4" s="144"/>
      <c r="S4" s="144"/>
      <c r="T4" s="144"/>
    </row>
    <row r="5" spans="2:29" x14ac:dyDescent="0.35">
      <c r="B5" s="158" t="s">
        <v>81</v>
      </c>
      <c r="C5" s="159" t="s">
        <v>79</v>
      </c>
      <c r="D5" s="159"/>
      <c r="E5" s="159"/>
      <c r="F5" s="144"/>
      <c r="G5" s="144"/>
      <c r="H5" s="144"/>
      <c r="I5" s="145"/>
      <c r="J5" s="144"/>
      <c r="K5" s="144"/>
      <c r="L5" s="144"/>
      <c r="M5" s="145"/>
      <c r="N5" s="145"/>
      <c r="O5" s="144"/>
      <c r="P5" s="144"/>
      <c r="Q5" s="144"/>
      <c r="R5" s="144"/>
      <c r="S5" s="144"/>
      <c r="T5" s="144"/>
      <c r="V5" s="144"/>
      <c r="W5" s="144"/>
      <c r="X5" s="144"/>
      <c r="Y5" s="144"/>
      <c r="Z5" s="144"/>
      <c r="AA5" s="144"/>
      <c r="AB5" s="144"/>
      <c r="AC5" s="144"/>
    </row>
    <row r="6" spans="2:29" x14ac:dyDescent="0.35">
      <c r="B6" s="158" t="s">
        <v>82</v>
      </c>
      <c r="C6" s="159" t="s">
        <v>84</v>
      </c>
      <c r="D6" s="159"/>
      <c r="E6" s="159"/>
      <c r="F6" s="144"/>
      <c r="G6" s="144"/>
      <c r="H6" s="144"/>
      <c r="I6" s="145"/>
      <c r="J6" s="144"/>
      <c r="K6" s="144"/>
      <c r="L6" s="144"/>
      <c r="M6" s="145"/>
      <c r="N6" s="145"/>
      <c r="O6" s="144"/>
      <c r="P6" s="144"/>
      <c r="Q6" s="144"/>
      <c r="R6" s="144"/>
      <c r="S6" s="144"/>
      <c r="T6" s="144"/>
      <c r="V6" s="144"/>
      <c r="W6" s="144"/>
      <c r="X6" s="144"/>
      <c r="Y6" s="144"/>
      <c r="Z6" s="144"/>
      <c r="AA6" s="144"/>
      <c r="AB6" s="144"/>
      <c r="AC6" s="144"/>
    </row>
    <row r="7" spans="2:29" x14ac:dyDescent="0.35">
      <c r="B7" s="160"/>
      <c r="C7" s="160"/>
      <c r="D7" s="160"/>
      <c r="E7" s="160"/>
      <c r="F7" s="145"/>
      <c r="G7" s="144"/>
      <c r="H7" s="144"/>
      <c r="I7" s="145"/>
      <c r="J7" s="144"/>
      <c r="K7" s="144"/>
      <c r="L7" s="144"/>
      <c r="M7" s="145"/>
      <c r="N7" s="145"/>
      <c r="O7" s="144"/>
      <c r="P7" s="144"/>
      <c r="Q7" s="144"/>
      <c r="R7" s="144"/>
      <c r="S7" s="144"/>
      <c r="T7" s="144"/>
      <c r="V7" s="144"/>
      <c r="W7" s="144"/>
      <c r="X7" s="144"/>
      <c r="Y7" s="144"/>
      <c r="Z7" s="144"/>
      <c r="AA7" s="144"/>
      <c r="AB7" s="144"/>
      <c r="AC7" s="144"/>
    </row>
    <row r="8" spans="2:29" x14ac:dyDescent="0.35">
      <c r="B8" s="161"/>
      <c r="C8" s="161"/>
      <c r="D8" s="161"/>
      <c r="E8" s="161"/>
      <c r="F8" s="145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V8" s="144"/>
      <c r="W8" s="144"/>
      <c r="X8" s="144"/>
      <c r="Y8" s="144"/>
      <c r="Z8" s="144"/>
      <c r="AA8" s="144"/>
      <c r="AB8" s="144"/>
      <c r="AC8" s="144"/>
    </row>
    <row r="9" spans="2:29" x14ac:dyDescent="0.35">
      <c r="B9" s="157" t="s">
        <v>116</v>
      </c>
      <c r="C9" s="157"/>
      <c r="D9" s="157"/>
      <c r="E9" s="157"/>
      <c r="F9" s="145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V9" s="144"/>
      <c r="W9" s="144"/>
      <c r="X9" s="144"/>
      <c r="Y9" s="144"/>
      <c r="Z9" s="144"/>
      <c r="AA9" s="144"/>
      <c r="AB9" s="144"/>
      <c r="AC9" s="144"/>
    </row>
    <row r="10" spans="2:29" x14ac:dyDescent="0.35">
      <c r="B10" s="158" t="s">
        <v>68</v>
      </c>
      <c r="C10" s="162">
        <v>10</v>
      </c>
      <c r="D10" s="163"/>
      <c r="E10" s="164" t="s">
        <v>6</v>
      </c>
      <c r="F10" s="14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V10" s="144"/>
      <c r="W10" s="144"/>
      <c r="X10" s="144"/>
      <c r="Y10" s="144"/>
      <c r="Z10" s="144"/>
      <c r="AA10" s="144"/>
      <c r="AB10" s="144"/>
      <c r="AC10" s="144"/>
    </row>
    <row r="11" spans="2:29" x14ac:dyDescent="0.35">
      <c r="B11" s="158" t="s">
        <v>5</v>
      </c>
      <c r="C11" s="162">
        <v>150</v>
      </c>
      <c r="D11" s="163"/>
      <c r="E11" s="164" t="s">
        <v>118</v>
      </c>
      <c r="F11" s="145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V11" s="144"/>
      <c r="W11" s="144"/>
      <c r="X11" s="144"/>
      <c r="Y11" s="144"/>
      <c r="Z11" s="144"/>
      <c r="AA11" s="144"/>
      <c r="AB11" s="144"/>
      <c r="AC11" s="144"/>
    </row>
    <row r="12" spans="2:29" ht="15" thickBot="1" x14ac:dyDescent="0.4">
      <c r="B12" s="48"/>
      <c r="C12" s="48"/>
      <c r="D12" s="48"/>
      <c r="E12" s="48"/>
      <c r="F12" s="145"/>
      <c r="G12" s="144"/>
      <c r="H12" s="144"/>
      <c r="I12" s="145"/>
      <c r="J12" s="144"/>
      <c r="K12" s="144"/>
      <c r="L12" s="144"/>
      <c r="M12" s="145"/>
      <c r="N12" s="145"/>
      <c r="O12" s="144"/>
      <c r="P12" s="144"/>
      <c r="Q12" s="144"/>
      <c r="R12" s="144"/>
      <c r="S12" s="144"/>
      <c r="T12" s="144"/>
      <c r="V12" s="144"/>
      <c r="W12" s="144"/>
      <c r="X12" s="144"/>
      <c r="Y12" s="144"/>
      <c r="Z12" s="144"/>
      <c r="AA12" s="144"/>
      <c r="AB12" s="144"/>
      <c r="AC12" s="144"/>
    </row>
    <row r="13" spans="2:29" ht="14.5" hidden="1" customHeight="1" outlineLevel="1" x14ac:dyDescent="0.35">
      <c r="B13" s="146" t="s">
        <v>8</v>
      </c>
      <c r="C13" s="147" t="s">
        <v>10</v>
      </c>
      <c r="D13" s="148" t="s">
        <v>16</v>
      </c>
      <c r="E13" s="149"/>
      <c r="F13" s="150">
        <f>D15*E15*F15</f>
        <v>0</v>
      </c>
      <c r="G13" s="147" t="s">
        <v>11</v>
      </c>
      <c r="H13" s="148" t="s">
        <v>16</v>
      </c>
      <c r="I13" s="149"/>
      <c r="J13" s="150">
        <f>H15*I15*J15</f>
        <v>0</v>
      </c>
      <c r="K13" s="147" t="s">
        <v>12</v>
      </c>
      <c r="L13" s="148" t="s">
        <v>16</v>
      </c>
      <c r="M13" s="149"/>
      <c r="N13" s="150">
        <f>L15*M15*N15</f>
        <v>0</v>
      </c>
      <c r="O13" s="147" t="s">
        <v>13</v>
      </c>
      <c r="P13" s="148" t="s">
        <v>16</v>
      </c>
      <c r="Q13" s="149"/>
      <c r="R13" s="150">
        <f>P15*Q15*R15</f>
        <v>0</v>
      </c>
      <c r="S13" s="147" t="s">
        <v>14</v>
      </c>
      <c r="T13" s="148" t="s">
        <v>16</v>
      </c>
      <c r="U13" s="149"/>
      <c r="V13" s="150">
        <f>T15*U15*V15</f>
        <v>0</v>
      </c>
      <c r="W13" s="144"/>
      <c r="X13" s="144"/>
      <c r="Y13" s="144"/>
      <c r="Z13" s="144"/>
      <c r="AA13" s="144"/>
      <c r="AB13" s="144"/>
      <c r="AC13" s="144"/>
    </row>
    <row r="14" spans="2:29" hidden="1" outlineLevel="1" x14ac:dyDescent="0.35">
      <c r="B14" s="146"/>
      <c r="C14" s="147"/>
      <c r="D14" s="151" t="s">
        <v>69</v>
      </c>
      <c r="E14" s="151" t="s">
        <v>70</v>
      </c>
      <c r="F14" s="151" t="s">
        <v>9</v>
      </c>
      <c r="G14" s="147"/>
      <c r="H14" s="151" t="s">
        <v>69</v>
      </c>
      <c r="I14" s="151" t="s">
        <v>70</v>
      </c>
      <c r="J14" s="151" t="s">
        <v>9</v>
      </c>
      <c r="K14" s="147"/>
      <c r="L14" s="151" t="s">
        <v>69</v>
      </c>
      <c r="M14" s="151" t="s">
        <v>70</v>
      </c>
      <c r="N14" s="151" t="s">
        <v>9</v>
      </c>
      <c r="O14" s="147"/>
      <c r="P14" s="151" t="s">
        <v>69</v>
      </c>
      <c r="Q14" s="151" t="s">
        <v>70</v>
      </c>
      <c r="R14" s="151" t="s">
        <v>9</v>
      </c>
      <c r="S14" s="147"/>
      <c r="T14" s="151" t="s">
        <v>69</v>
      </c>
      <c r="U14" s="151" t="s">
        <v>70</v>
      </c>
      <c r="V14" s="151" t="s">
        <v>9</v>
      </c>
      <c r="W14" s="144"/>
      <c r="X14" s="144"/>
      <c r="Y14" s="144"/>
      <c r="Z14" s="144"/>
      <c r="AA14" s="144"/>
      <c r="AB14" s="144"/>
      <c r="AC14" s="144"/>
    </row>
    <row r="15" spans="2:29" hidden="1" outlineLevel="1" x14ac:dyDescent="0.35">
      <c r="B15" s="146"/>
      <c r="C15" s="147"/>
      <c r="D15" s="152">
        <v>0</v>
      </c>
      <c r="E15" s="152">
        <v>0</v>
      </c>
      <c r="F15" s="153">
        <v>0</v>
      </c>
      <c r="G15" s="147"/>
      <c r="H15" s="152">
        <v>0</v>
      </c>
      <c r="I15" s="152">
        <v>0</v>
      </c>
      <c r="J15" s="153">
        <v>0</v>
      </c>
      <c r="K15" s="147"/>
      <c r="L15" s="152">
        <v>0</v>
      </c>
      <c r="M15" s="152">
        <v>0</v>
      </c>
      <c r="N15" s="153">
        <v>0</v>
      </c>
      <c r="O15" s="147"/>
      <c r="P15" s="152">
        <v>0</v>
      </c>
      <c r="Q15" s="152">
        <v>0</v>
      </c>
      <c r="R15" s="153">
        <v>0</v>
      </c>
      <c r="S15" s="147"/>
      <c r="T15" s="152">
        <v>0</v>
      </c>
      <c r="U15" s="152">
        <v>0</v>
      </c>
      <c r="V15" s="153">
        <v>0</v>
      </c>
      <c r="W15" s="144"/>
      <c r="X15" s="144"/>
      <c r="Y15" s="144"/>
      <c r="Z15" s="144"/>
      <c r="AA15" s="144"/>
      <c r="AB15" s="144"/>
      <c r="AC15" s="144"/>
    </row>
    <row r="16" spans="2:29" ht="14.5" hidden="1" customHeight="1" outlineLevel="1" x14ac:dyDescent="0.35">
      <c r="B16" s="146" t="s">
        <v>15</v>
      </c>
      <c r="C16" s="154" t="s">
        <v>10</v>
      </c>
      <c r="D16" s="148" t="s">
        <v>16</v>
      </c>
      <c r="E16" s="149"/>
      <c r="F16" s="150">
        <f>D18*E18*F18</f>
        <v>0</v>
      </c>
      <c r="G16" s="147" t="s">
        <v>11</v>
      </c>
      <c r="H16" s="148" t="s">
        <v>16</v>
      </c>
      <c r="I16" s="149"/>
      <c r="J16" s="150">
        <f>H18*I18*J18</f>
        <v>0</v>
      </c>
      <c r="K16" s="147" t="s">
        <v>12</v>
      </c>
      <c r="L16" s="148" t="s">
        <v>16</v>
      </c>
      <c r="M16" s="149"/>
      <c r="N16" s="150">
        <f>L18*M18*N18</f>
        <v>0</v>
      </c>
      <c r="O16" s="147" t="s">
        <v>13</v>
      </c>
      <c r="P16" s="148" t="s">
        <v>16</v>
      </c>
      <c r="Q16" s="149"/>
      <c r="R16" s="150">
        <f>P18*Q18*R18</f>
        <v>0</v>
      </c>
      <c r="S16" s="147" t="s">
        <v>14</v>
      </c>
      <c r="T16" s="148" t="s">
        <v>16</v>
      </c>
      <c r="U16" s="149"/>
      <c r="V16" s="150">
        <f>T18*U18*V18</f>
        <v>0</v>
      </c>
      <c r="W16" s="144"/>
      <c r="X16" s="144"/>
      <c r="Y16" s="144"/>
      <c r="Z16" s="144"/>
      <c r="AA16" s="144"/>
      <c r="AB16" s="144"/>
      <c r="AC16" s="144"/>
    </row>
    <row r="17" spans="2:29" hidden="1" outlineLevel="1" x14ac:dyDescent="0.35">
      <c r="B17" s="146"/>
      <c r="C17" s="154"/>
      <c r="D17" s="151" t="s">
        <v>69</v>
      </c>
      <c r="E17" s="151" t="s">
        <v>70</v>
      </c>
      <c r="F17" s="151" t="s">
        <v>9</v>
      </c>
      <c r="G17" s="147"/>
      <c r="H17" s="151" t="s">
        <v>69</v>
      </c>
      <c r="I17" s="151" t="s">
        <v>70</v>
      </c>
      <c r="J17" s="151" t="s">
        <v>9</v>
      </c>
      <c r="K17" s="147"/>
      <c r="L17" s="151" t="s">
        <v>69</v>
      </c>
      <c r="M17" s="151" t="s">
        <v>70</v>
      </c>
      <c r="N17" s="151" t="s">
        <v>9</v>
      </c>
      <c r="O17" s="147"/>
      <c r="P17" s="151" t="s">
        <v>69</v>
      </c>
      <c r="Q17" s="151" t="s">
        <v>70</v>
      </c>
      <c r="R17" s="151" t="s">
        <v>9</v>
      </c>
      <c r="S17" s="147"/>
      <c r="T17" s="151" t="s">
        <v>69</v>
      </c>
      <c r="U17" s="151" t="s">
        <v>70</v>
      </c>
      <c r="V17" s="151" t="s">
        <v>9</v>
      </c>
      <c r="W17" s="144"/>
      <c r="X17" s="144"/>
      <c r="Y17" s="144"/>
      <c r="Z17" s="144"/>
      <c r="AA17" s="144"/>
      <c r="AB17" s="144"/>
      <c r="AC17" s="144"/>
    </row>
    <row r="18" spans="2:29" ht="14.5" hidden="1" customHeight="1" outlineLevel="1" x14ac:dyDescent="0.35">
      <c r="B18" s="146"/>
      <c r="C18" s="154"/>
      <c r="D18" s="152">
        <v>0</v>
      </c>
      <c r="E18" s="152">
        <v>0</v>
      </c>
      <c r="F18" s="153">
        <v>0</v>
      </c>
      <c r="G18" s="147"/>
      <c r="H18" s="152">
        <v>0</v>
      </c>
      <c r="I18" s="152">
        <v>0</v>
      </c>
      <c r="J18" s="153"/>
      <c r="K18" s="147"/>
      <c r="L18" s="152"/>
      <c r="M18" s="152"/>
      <c r="N18" s="153"/>
      <c r="O18" s="147"/>
      <c r="P18" s="152">
        <v>0</v>
      </c>
      <c r="Q18" s="152">
        <v>0</v>
      </c>
      <c r="R18" s="153">
        <v>0</v>
      </c>
      <c r="S18" s="147"/>
      <c r="T18" s="152">
        <v>0</v>
      </c>
      <c r="U18" s="152">
        <v>0</v>
      </c>
      <c r="V18" s="153">
        <v>0</v>
      </c>
      <c r="W18" s="144"/>
      <c r="X18" s="144"/>
      <c r="Y18" s="144"/>
      <c r="Z18" s="144"/>
      <c r="AA18" s="144"/>
      <c r="AB18" s="144"/>
      <c r="AC18" s="144"/>
    </row>
    <row r="19" spans="2:29" hidden="1" outlineLevel="1" x14ac:dyDescent="0.35">
      <c r="B19" s="113" t="s">
        <v>0</v>
      </c>
      <c r="C19" s="113"/>
      <c r="D19" s="21">
        <f>2*(E15*F15+I15*J15+M15*N15+Q15*R15+U15*V15)+2*(E18*F18+I18*J18+M18*N18+Q18*R18+U18*V18)</f>
        <v>0</v>
      </c>
      <c r="E19" s="22" t="s">
        <v>7</v>
      </c>
      <c r="V19" s="144"/>
      <c r="W19" s="144"/>
      <c r="X19" s="144"/>
      <c r="Y19" s="144"/>
      <c r="Z19" s="144"/>
      <c r="AA19" s="144"/>
      <c r="AB19" s="144"/>
      <c r="AC19" s="144"/>
    </row>
    <row r="20" spans="2:29" hidden="1" outlineLevel="1" x14ac:dyDescent="0.35">
      <c r="B20" s="113" t="s">
        <v>1</v>
      </c>
      <c r="C20" s="113"/>
      <c r="D20" s="21">
        <f>(D15*F15+H15*J15+L15*N15+P15*R15+T15*V15)+(D18*F18+H18*J18+L18*N18+P18*R18+T18*V18)</f>
        <v>0</v>
      </c>
      <c r="E20" s="22" t="s">
        <v>7</v>
      </c>
      <c r="V20" s="144"/>
      <c r="W20" s="144"/>
      <c r="X20" s="144"/>
      <c r="Y20" s="144"/>
      <c r="Z20" s="144"/>
      <c r="AA20" s="144"/>
      <c r="AB20" s="144"/>
      <c r="AC20" s="144"/>
    </row>
    <row r="21" spans="2:29" hidden="1" outlineLevel="1" x14ac:dyDescent="0.35">
      <c r="B21" s="113" t="s">
        <v>2</v>
      </c>
      <c r="C21" s="113"/>
      <c r="D21" s="21">
        <f>(D15*F15+H15*J15+L15*N15+P15*R15+T15*V15)</f>
        <v>0</v>
      </c>
      <c r="E21" s="22" t="s">
        <v>7</v>
      </c>
      <c r="V21" s="144"/>
      <c r="W21" s="144"/>
      <c r="X21" s="144"/>
      <c r="Y21" s="144"/>
      <c r="Z21" s="144"/>
      <c r="AA21" s="144"/>
      <c r="AB21" s="144"/>
      <c r="AC21" s="144"/>
    </row>
    <row r="22" spans="2:29" hidden="1" outlineLevel="1" x14ac:dyDescent="0.35">
      <c r="B22" s="113" t="s">
        <v>3</v>
      </c>
      <c r="C22" s="113"/>
      <c r="D22" s="23">
        <f>(C11+I30+I34)/1000</f>
        <v>0.16400000000000001</v>
      </c>
      <c r="E22" s="22" t="s">
        <v>7</v>
      </c>
      <c r="V22" s="144"/>
      <c r="W22" s="144"/>
      <c r="X22" s="144"/>
      <c r="Y22" s="144"/>
      <c r="Z22" s="144"/>
      <c r="AA22" s="144"/>
      <c r="AB22" s="144"/>
      <c r="AC22" s="144"/>
    </row>
    <row r="23" spans="2:29" hidden="1" outlineLevel="1" x14ac:dyDescent="0.35">
      <c r="B23" s="113" t="s">
        <v>4</v>
      </c>
      <c r="C23" s="113"/>
      <c r="D23" s="21">
        <f>(D19+D20)*D22</f>
        <v>0</v>
      </c>
      <c r="E23" s="22" t="s">
        <v>6</v>
      </c>
      <c r="V23" s="144"/>
      <c r="W23" s="144"/>
      <c r="X23" s="144"/>
      <c r="Y23" s="144"/>
      <c r="Z23" s="144"/>
      <c r="AA23" s="144"/>
      <c r="AB23" s="144"/>
      <c r="AC23" s="144"/>
    </row>
    <row r="24" spans="2:29" ht="15" hidden="1" outlineLevel="1" thickBot="1" x14ac:dyDescent="0.4">
      <c r="B24" s="10"/>
      <c r="C24" s="10"/>
      <c r="D24" s="11"/>
      <c r="E24" s="12"/>
      <c r="J24" s="14"/>
      <c r="V24" s="144"/>
      <c r="W24" s="144"/>
      <c r="X24" s="144"/>
      <c r="Y24" s="144"/>
      <c r="Z24" s="144"/>
      <c r="AA24" s="144"/>
      <c r="AB24" s="144"/>
      <c r="AC24" s="144"/>
    </row>
    <row r="25" spans="2:29" ht="28" customHeight="1" collapsed="1" x14ac:dyDescent="0.35">
      <c r="B25" s="112" t="s">
        <v>17</v>
      </c>
      <c r="C25" s="76"/>
      <c r="D25" s="77" t="s">
        <v>22</v>
      </c>
      <c r="E25" s="76" t="s">
        <v>18</v>
      </c>
      <c r="F25" s="76" t="s">
        <v>19</v>
      </c>
      <c r="G25" s="76" t="s">
        <v>20</v>
      </c>
      <c r="H25" s="76"/>
      <c r="I25" s="75" t="s">
        <v>21</v>
      </c>
      <c r="J25" s="112" t="s">
        <v>23</v>
      </c>
      <c r="K25" s="76"/>
      <c r="L25" s="31" t="s">
        <v>18</v>
      </c>
      <c r="M25" s="31" t="s">
        <v>111</v>
      </c>
      <c r="N25" s="77" t="s">
        <v>110</v>
      </c>
      <c r="O25" s="75"/>
      <c r="P25" s="116" t="s">
        <v>112</v>
      </c>
      <c r="Q25" s="117" t="s">
        <v>18</v>
      </c>
      <c r="R25" s="118" t="s">
        <v>111</v>
      </c>
      <c r="S25" s="118"/>
      <c r="T25" s="119" t="s">
        <v>110</v>
      </c>
      <c r="V25" s="144"/>
      <c r="W25" s="144"/>
      <c r="X25" s="144"/>
      <c r="Y25" s="144"/>
      <c r="Z25" s="144"/>
      <c r="AA25" s="144"/>
      <c r="AB25" s="144"/>
      <c r="AC25" s="144"/>
    </row>
    <row r="26" spans="2:29" x14ac:dyDescent="0.35">
      <c r="B26" s="51"/>
      <c r="C26" s="52"/>
      <c r="D26" s="54"/>
      <c r="E26" s="52"/>
      <c r="F26" s="52"/>
      <c r="G26" s="52"/>
      <c r="H26" s="52"/>
      <c r="I26" s="55"/>
      <c r="J26" s="51" t="s">
        <v>113</v>
      </c>
      <c r="K26" s="52"/>
      <c r="L26" s="52"/>
      <c r="M26" s="52"/>
      <c r="N26" s="52"/>
      <c r="O26" s="53"/>
      <c r="P26" s="120" t="s">
        <v>114</v>
      </c>
      <c r="Q26" s="121"/>
      <c r="R26" s="121"/>
      <c r="S26" s="121"/>
      <c r="T26" s="122"/>
      <c r="V26" s="144"/>
      <c r="W26" s="144"/>
      <c r="X26" s="144"/>
      <c r="Y26" s="144"/>
      <c r="Z26" s="144"/>
      <c r="AA26" s="144"/>
      <c r="AB26" s="144"/>
      <c r="AC26" s="144"/>
    </row>
    <row r="27" spans="2:29" x14ac:dyDescent="0.35">
      <c r="B27" s="78" t="s">
        <v>24</v>
      </c>
      <c r="C27" s="79"/>
      <c r="D27" s="79"/>
      <c r="E27" s="79"/>
      <c r="F27" s="79"/>
      <c r="G27" s="79"/>
      <c r="H27" s="79"/>
      <c r="I27" s="80"/>
      <c r="J27" s="78"/>
      <c r="K27" s="79"/>
      <c r="L27" s="79"/>
      <c r="M27" s="79"/>
      <c r="N27" s="79"/>
      <c r="O27" s="80"/>
      <c r="P27" s="123"/>
      <c r="Q27" s="124"/>
      <c r="R27" s="124"/>
      <c r="S27" s="124"/>
      <c r="T27" s="125"/>
      <c r="V27" s="144"/>
      <c r="W27" s="144"/>
      <c r="X27" s="144"/>
      <c r="Y27" s="144"/>
      <c r="Z27" s="144"/>
      <c r="AA27" s="144"/>
      <c r="AB27" s="144"/>
      <c r="AC27" s="144"/>
    </row>
    <row r="28" spans="2:29" x14ac:dyDescent="0.35">
      <c r="B28" s="114" t="s">
        <v>72</v>
      </c>
      <c r="C28" s="101"/>
      <c r="D28" s="16">
        <f>C10+D23</f>
        <v>10</v>
      </c>
      <c r="E28" s="40" t="s">
        <v>6</v>
      </c>
      <c r="F28" s="40">
        <f>VLOOKUP(B28,Лист1!C11:D12,2,0)</f>
        <v>0.15</v>
      </c>
      <c r="G28" s="47" t="s">
        <v>40</v>
      </c>
      <c r="H28" s="47"/>
      <c r="I28" s="45" t="s">
        <v>34</v>
      </c>
      <c r="J28" s="91">
        <f>D28*F28</f>
        <v>1.5</v>
      </c>
      <c r="K28" s="92"/>
      <c r="L28" s="24" t="s">
        <v>39</v>
      </c>
      <c r="M28" s="25">
        <v>0</v>
      </c>
      <c r="N28" s="84">
        <f>M28*J28</f>
        <v>0</v>
      </c>
      <c r="O28" s="85"/>
      <c r="P28" s="169">
        <f>ROUNDUP(J28/10,0)</f>
        <v>1</v>
      </c>
      <c r="Q28" s="170" t="s">
        <v>41</v>
      </c>
      <c r="R28" s="126">
        <v>100</v>
      </c>
      <c r="S28" s="126"/>
      <c r="T28" s="127">
        <f>R28*P28</f>
        <v>100</v>
      </c>
      <c r="V28" s="144"/>
      <c r="W28" s="144"/>
      <c r="X28" s="144"/>
      <c r="Y28" s="144"/>
      <c r="Z28" s="144"/>
      <c r="AA28" s="144"/>
      <c r="AB28" s="144"/>
      <c r="AC28" s="144"/>
    </row>
    <row r="29" spans="2:29" x14ac:dyDescent="0.35">
      <c r="B29" s="78" t="s">
        <v>25</v>
      </c>
      <c r="C29" s="79"/>
      <c r="D29" s="79"/>
      <c r="E29" s="79"/>
      <c r="F29" s="79"/>
      <c r="G29" s="79"/>
      <c r="H29" s="79"/>
      <c r="I29" s="80"/>
      <c r="J29" s="81"/>
      <c r="K29" s="82"/>
      <c r="L29" s="82"/>
      <c r="M29" s="82"/>
      <c r="N29" s="82"/>
      <c r="O29" s="83"/>
      <c r="P29" s="128"/>
      <c r="Q29" s="129"/>
      <c r="R29" s="129"/>
      <c r="S29" s="129"/>
      <c r="T29" s="130"/>
      <c r="V29" s="144"/>
      <c r="W29" s="144"/>
      <c r="X29" s="144"/>
      <c r="Y29" s="144"/>
      <c r="Z29" s="144"/>
      <c r="AA29" s="144"/>
      <c r="AB29" s="144"/>
      <c r="AC29" s="144"/>
    </row>
    <row r="30" spans="2:29" x14ac:dyDescent="0.35">
      <c r="B30" s="98" t="s">
        <v>91</v>
      </c>
      <c r="C30" s="99"/>
      <c r="D30" s="16">
        <f>C10</f>
        <v>10</v>
      </c>
      <c r="E30" s="40" t="s">
        <v>6</v>
      </c>
      <c r="F30" s="13">
        <f>VLOOKUP(B31,Лист1!D38:F39,2,0)</f>
        <v>6.4000000000000012</v>
      </c>
      <c r="G30" s="47" t="s">
        <v>30</v>
      </c>
      <c r="H30" s="47"/>
      <c r="I30" s="34">
        <v>10</v>
      </c>
      <c r="J30" s="91">
        <f>D30*F30</f>
        <v>64.000000000000014</v>
      </c>
      <c r="K30" s="92"/>
      <c r="L30" s="24" t="s">
        <v>32</v>
      </c>
      <c r="M30" s="25">
        <v>0</v>
      </c>
      <c r="N30" s="84">
        <f>M30*J30</f>
        <v>0</v>
      </c>
      <c r="O30" s="85"/>
      <c r="P30" s="169">
        <f>ROUNDUP(J30/25,0)</f>
        <v>3</v>
      </c>
      <c r="Q30" s="170" t="s">
        <v>33</v>
      </c>
      <c r="R30" s="126">
        <v>0</v>
      </c>
      <c r="S30" s="126"/>
      <c r="T30" s="127">
        <f>R30*P30</f>
        <v>0</v>
      </c>
      <c r="V30" s="144"/>
      <c r="W30" s="144"/>
      <c r="X30" s="144"/>
      <c r="Y30" s="144"/>
      <c r="Z30" s="144"/>
      <c r="AA30" s="144"/>
      <c r="AB30" s="144"/>
      <c r="AC30" s="144"/>
    </row>
    <row r="31" spans="2:29" x14ac:dyDescent="0.35">
      <c r="B31" s="98" t="str">
        <f>VLOOKUP(C4,Лист1!D3:E5,2,0)</f>
        <v>ППС / ЭППС</v>
      </c>
      <c r="C31" s="99"/>
      <c r="D31" s="16">
        <f>C10</f>
        <v>10</v>
      </c>
      <c r="E31" s="40" t="s">
        <v>6</v>
      </c>
      <c r="F31" s="16">
        <v>1.03</v>
      </c>
      <c r="G31" s="47" t="s">
        <v>29</v>
      </c>
      <c r="H31" s="47"/>
      <c r="I31" s="46">
        <f>C11</f>
        <v>150</v>
      </c>
      <c r="J31" s="91">
        <f>F31*D31</f>
        <v>10.3</v>
      </c>
      <c r="K31" s="92"/>
      <c r="L31" s="24" t="s">
        <v>6</v>
      </c>
      <c r="M31" s="25">
        <v>0</v>
      </c>
      <c r="N31" s="84">
        <f>M31*J31</f>
        <v>0</v>
      </c>
      <c r="O31" s="85"/>
      <c r="P31" s="171">
        <f>J31*C11/1000</f>
        <v>1.5449999999999999</v>
      </c>
      <c r="Q31" s="170" t="s">
        <v>58</v>
      </c>
      <c r="R31" s="126">
        <v>0</v>
      </c>
      <c r="S31" s="126"/>
      <c r="T31" s="127">
        <f>R31*P31</f>
        <v>0</v>
      </c>
      <c r="V31" s="144"/>
      <c r="W31" s="144"/>
      <c r="X31" s="144"/>
      <c r="Y31" s="144"/>
      <c r="Z31" s="144"/>
      <c r="AA31" s="144"/>
      <c r="AB31" s="144"/>
      <c r="AC31" s="144"/>
    </row>
    <row r="32" spans="2:29" s="4" customFormat="1" x14ac:dyDescent="0.35">
      <c r="B32" s="103" t="str">
        <f>"Вкручиваемый фасадный тарельчатый дюбель 8/60-"&amp;TEXT(C11*1000+50+I30,"0")&amp;"мм"</f>
        <v>Вкручиваемый фасадный тарельчатый дюбель 8/60-150060мм</v>
      </c>
      <c r="C32" s="104"/>
      <c r="D32" s="7">
        <f>C10</f>
        <v>10</v>
      </c>
      <c r="E32" s="43" t="s">
        <v>6</v>
      </c>
      <c r="F32" s="7">
        <v>6</v>
      </c>
      <c r="G32" s="102" t="s">
        <v>28</v>
      </c>
      <c r="H32" s="102"/>
      <c r="I32" s="35" t="s">
        <v>26</v>
      </c>
      <c r="J32" s="94">
        <f>F32*D32</f>
        <v>60</v>
      </c>
      <c r="K32" s="95"/>
      <c r="L32" s="24" t="s">
        <v>9</v>
      </c>
      <c r="M32" s="72" t="s">
        <v>115</v>
      </c>
      <c r="N32" s="73"/>
      <c r="O32" s="74"/>
      <c r="P32" s="131" t="s">
        <v>26</v>
      </c>
      <c r="Q32" s="132"/>
      <c r="R32" s="132"/>
      <c r="S32" s="132"/>
      <c r="T32" s="133"/>
      <c r="V32" s="155"/>
      <c r="W32" s="155"/>
      <c r="X32" s="155"/>
      <c r="Y32" s="155"/>
      <c r="Z32" s="155"/>
      <c r="AA32" s="155"/>
      <c r="AB32" s="155"/>
      <c r="AC32" s="155"/>
    </row>
    <row r="33" spans="2:29" x14ac:dyDescent="0.35">
      <c r="B33" s="78" t="s">
        <v>31</v>
      </c>
      <c r="C33" s="79"/>
      <c r="D33" s="79"/>
      <c r="E33" s="79"/>
      <c r="F33" s="79"/>
      <c r="G33" s="79"/>
      <c r="H33" s="79"/>
      <c r="I33" s="80"/>
      <c r="J33" s="81"/>
      <c r="K33" s="82"/>
      <c r="L33" s="82"/>
      <c r="M33" s="82"/>
      <c r="N33" s="82"/>
      <c r="O33" s="83"/>
      <c r="P33" s="128"/>
      <c r="Q33" s="129"/>
      <c r="R33" s="129"/>
      <c r="S33" s="129"/>
      <c r="T33" s="130"/>
      <c r="V33" s="144"/>
      <c r="W33" s="144"/>
      <c r="X33" s="144"/>
      <c r="Y33" s="144"/>
      <c r="Z33" s="144"/>
      <c r="AA33" s="144"/>
      <c r="AB33" s="144"/>
      <c r="AC33" s="144"/>
    </row>
    <row r="34" spans="2:29" x14ac:dyDescent="0.35">
      <c r="B34" s="98" t="s">
        <v>91</v>
      </c>
      <c r="C34" s="99"/>
      <c r="D34" s="16">
        <f>C10+D23</f>
        <v>10</v>
      </c>
      <c r="E34" s="40" t="s">
        <v>6</v>
      </c>
      <c r="F34" s="13">
        <f>VLOOKUP(B31,Лист1!D38:F39,3,0)</f>
        <v>6.4</v>
      </c>
      <c r="G34" s="47" t="s">
        <v>30</v>
      </c>
      <c r="H34" s="47"/>
      <c r="I34" s="36">
        <v>4</v>
      </c>
      <c r="J34" s="91">
        <f>F34*D34</f>
        <v>64</v>
      </c>
      <c r="K34" s="92"/>
      <c r="L34" s="24" t="s">
        <v>32</v>
      </c>
      <c r="M34" s="25">
        <v>0</v>
      </c>
      <c r="N34" s="84">
        <f>M34*J34</f>
        <v>0</v>
      </c>
      <c r="O34" s="85"/>
      <c r="P34" s="169">
        <f>ROUNDUP(J34/25,0)</f>
        <v>3</v>
      </c>
      <c r="Q34" s="170" t="s">
        <v>33</v>
      </c>
      <c r="R34" s="126">
        <v>0</v>
      </c>
      <c r="S34" s="126"/>
      <c r="T34" s="127">
        <f>R34*P34</f>
        <v>0</v>
      </c>
      <c r="V34" s="144"/>
      <c r="W34" s="144"/>
      <c r="X34" s="144"/>
      <c r="Y34" s="144"/>
      <c r="Z34" s="144"/>
      <c r="AA34" s="144"/>
      <c r="AB34" s="144"/>
      <c r="AC34" s="144"/>
    </row>
    <row r="35" spans="2:29" x14ac:dyDescent="0.35">
      <c r="B35" s="100" t="s">
        <v>125</v>
      </c>
      <c r="C35" s="101"/>
      <c r="D35" s="16">
        <f>C10+D23</f>
        <v>10</v>
      </c>
      <c r="E35" s="40" t="s">
        <v>6</v>
      </c>
      <c r="F35" s="8">
        <v>1.1499999999999999</v>
      </c>
      <c r="G35" s="47" t="s">
        <v>29</v>
      </c>
      <c r="H35" s="47"/>
      <c r="I35" s="45" t="s">
        <v>26</v>
      </c>
      <c r="J35" s="91">
        <f>D35*F35</f>
        <v>11.5</v>
      </c>
      <c r="K35" s="92"/>
      <c r="L35" s="24" t="s">
        <v>6</v>
      </c>
      <c r="M35" s="25">
        <v>0</v>
      </c>
      <c r="N35" s="84">
        <f>M35*J35</f>
        <v>0</v>
      </c>
      <c r="O35" s="85"/>
      <c r="P35" s="169">
        <f>ROUNDUP(J35/50,0)</f>
        <v>1</v>
      </c>
      <c r="Q35" s="170" t="s">
        <v>66</v>
      </c>
      <c r="R35" s="126">
        <v>0</v>
      </c>
      <c r="S35" s="126"/>
      <c r="T35" s="127">
        <f>R35*P35</f>
        <v>0</v>
      </c>
      <c r="V35" s="144"/>
      <c r="W35" s="144"/>
      <c r="X35" s="144"/>
      <c r="Y35" s="144"/>
      <c r="Z35" s="144"/>
      <c r="AA35" s="144"/>
      <c r="AB35" s="144"/>
      <c r="AC35" s="144"/>
    </row>
    <row r="36" spans="2:29" s="9" customFormat="1" x14ac:dyDescent="0.35">
      <c r="B36" s="96" t="s">
        <v>36</v>
      </c>
      <c r="C36" s="97"/>
      <c r="D36" s="15">
        <f>D19+D21</f>
        <v>0</v>
      </c>
      <c r="E36" s="42" t="s">
        <v>7</v>
      </c>
      <c r="F36" s="8">
        <v>1.05</v>
      </c>
      <c r="G36" s="93" t="s">
        <v>27</v>
      </c>
      <c r="H36" s="93"/>
      <c r="I36" s="37" t="s">
        <v>26</v>
      </c>
      <c r="J36" s="94">
        <f>D36*F36</f>
        <v>0</v>
      </c>
      <c r="K36" s="95"/>
      <c r="L36" s="24" t="s">
        <v>7</v>
      </c>
      <c r="M36" s="63" t="s">
        <v>26</v>
      </c>
      <c r="N36" s="64"/>
      <c r="O36" s="65"/>
      <c r="P36" s="134" t="s">
        <v>26</v>
      </c>
      <c r="Q36" s="135"/>
      <c r="R36" s="135"/>
      <c r="S36" s="135"/>
      <c r="T36" s="136"/>
      <c r="V36" s="156"/>
      <c r="W36" s="156"/>
      <c r="X36" s="156"/>
      <c r="Y36" s="156"/>
      <c r="Z36" s="156"/>
      <c r="AA36" s="156"/>
      <c r="AB36" s="156"/>
      <c r="AC36" s="156"/>
    </row>
    <row r="37" spans="2:29" s="9" customFormat="1" x14ac:dyDescent="0.35">
      <c r="B37" s="96" t="s">
        <v>37</v>
      </c>
      <c r="C37" s="97"/>
      <c r="D37" s="15">
        <f>D20</f>
        <v>0</v>
      </c>
      <c r="E37" s="42" t="s">
        <v>7</v>
      </c>
      <c r="F37" s="8">
        <v>1.1000000000000001</v>
      </c>
      <c r="G37" s="93" t="s">
        <v>27</v>
      </c>
      <c r="H37" s="93"/>
      <c r="I37" s="37" t="s">
        <v>26</v>
      </c>
      <c r="J37" s="94">
        <f>D37*F37</f>
        <v>0</v>
      </c>
      <c r="K37" s="95"/>
      <c r="L37" s="24" t="s">
        <v>7</v>
      </c>
      <c r="M37" s="66"/>
      <c r="N37" s="67"/>
      <c r="O37" s="68"/>
      <c r="P37" s="137"/>
      <c r="Q37" s="138"/>
      <c r="R37" s="138"/>
      <c r="S37" s="138"/>
      <c r="T37" s="139"/>
      <c r="V37" s="156"/>
      <c r="W37" s="156"/>
      <c r="X37" s="156"/>
      <c r="Y37" s="156"/>
      <c r="Z37" s="156"/>
      <c r="AA37" s="156"/>
      <c r="AB37" s="156"/>
      <c r="AC37" s="156"/>
    </row>
    <row r="38" spans="2:29" s="9" customFormat="1" x14ac:dyDescent="0.35">
      <c r="B38" s="96" t="s">
        <v>35</v>
      </c>
      <c r="C38" s="97"/>
      <c r="D38" s="15">
        <f>D19+D20</f>
        <v>0</v>
      </c>
      <c r="E38" s="42" t="s">
        <v>7</v>
      </c>
      <c r="F38" s="8">
        <v>1.1000000000000001</v>
      </c>
      <c r="G38" s="93" t="s">
        <v>27</v>
      </c>
      <c r="H38" s="93"/>
      <c r="I38" s="37" t="s">
        <v>26</v>
      </c>
      <c r="J38" s="94">
        <f>D38*F38</f>
        <v>0</v>
      </c>
      <c r="K38" s="95"/>
      <c r="L38" s="24" t="s">
        <v>7</v>
      </c>
      <c r="M38" s="69"/>
      <c r="N38" s="70"/>
      <c r="O38" s="71"/>
      <c r="P38" s="140"/>
      <c r="Q38" s="141"/>
      <c r="R38" s="141"/>
      <c r="S38" s="141"/>
      <c r="T38" s="142"/>
      <c r="V38" s="156"/>
      <c r="W38" s="156"/>
      <c r="X38" s="156"/>
      <c r="Y38" s="156"/>
      <c r="Z38" s="156"/>
      <c r="AA38" s="156"/>
      <c r="AB38" s="156"/>
      <c r="AC38" s="156"/>
    </row>
    <row r="39" spans="2:29" x14ac:dyDescent="0.35">
      <c r="B39" s="78" t="s">
        <v>56</v>
      </c>
      <c r="C39" s="79"/>
      <c r="D39" s="79"/>
      <c r="E39" s="79"/>
      <c r="F39" s="79"/>
      <c r="G39" s="79"/>
      <c r="H39" s="79"/>
      <c r="I39" s="80"/>
      <c r="J39" s="81"/>
      <c r="K39" s="82"/>
      <c r="L39" s="82"/>
      <c r="M39" s="82"/>
      <c r="N39" s="82"/>
      <c r="O39" s="83"/>
      <c r="P39" s="128"/>
      <c r="Q39" s="129"/>
      <c r="R39" s="129"/>
      <c r="S39" s="129"/>
      <c r="T39" s="130"/>
      <c r="V39" s="144"/>
      <c r="W39" s="144"/>
      <c r="X39" s="144"/>
      <c r="Y39" s="144"/>
      <c r="Z39" s="144"/>
      <c r="AA39" s="144"/>
      <c r="AB39" s="144"/>
      <c r="AC39" s="144"/>
    </row>
    <row r="40" spans="2:29" x14ac:dyDescent="0.35">
      <c r="B40" s="100" t="str">
        <f>IF(C5="Минеральная",Лист1!C12,Лист1!C13)</f>
        <v>Фасадная тонирующуя грунтовка vetonit prim Uni (25 кг)</v>
      </c>
      <c r="C40" s="101"/>
      <c r="D40" s="16">
        <f>C10+D23</f>
        <v>10</v>
      </c>
      <c r="E40" s="40" t="s">
        <v>6</v>
      </c>
      <c r="F40" s="40">
        <f>VLOOKUP(B40,Лист1!C12:G14,2,0)</f>
        <v>0.2</v>
      </c>
      <c r="G40" s="47" t="str">
        <f>VLOOKUP(B40,Лист1!C12:G14,3,0)</f>
        <v>кг/м2</v>
      </c>
      <c r="H40" s="47"/>
      <c r="I40" s="45" t="s">
        <v>34</v>
      </c>
      <c r="J40" s="91">
        <f>F40*D40</f>
        <v>2</v>
      </c>
      <c r="K40" s="92"/>
      <c r="L40" s="24" t="str">
        <f>VLOOKUP(B40,Лист1!C12:H14,6,0)</f>
        <v>кг</v>
      </c>
      <c r="M40" s="25">
        <v>0</v>
      </c>
      <c r="N40" s="84">
        <f>M40*J40</f>
        <v>0</v>
      </c>
      <c r="O40" s="85"/>
      <c r="P40" s="169">
        <f>VLOOKUP(B40,Лист1!C12:H14,4,0)</f>
        <v>1</v>
      </c>
      <c r="Q40" s="170" t="str">
        <f>VLOOKUP(B40,Лист1!C12:H14,5,0)</f>
        <v>вед.</v>
      </c>
      <c r="R40" s="126">
        <v>0</v>
      </c>
      <c r="S40" s="126"/>
      <c r="T40" s="127">
        <f>R40*P40</f>
        <v>0</v>
      </c>
      <c r="V40" s="144"/>
      <c r="W40" s="144"/>
      <c r="X40" s="144"/>
      <c r="Y40" s="144"/>
      <c r="Z40" s="144"/>
      <c r="AA40" s="144"/>
      <c r="AB40" s="144"/>
      <c r="AC40" s="144"/>
    </row>
    <row r="41" spans="2:29" ht="32" customHeight="1" x14ac:dyDescent="0.35">
      <c r="B41" s="110" t="str">
        <f>IF(C5="Минеральная",Лист1!K6,VLOOKUP(СФТК!C4,Лист1!L2:M4,2,0))</f>
        <v>Акриловая декоративная штукатурка vetonit pas akrylat (25 кг)</v>
      </c>
      <c r="C41" s="111"/>
      <c r="D41" s="17">
        <f>C10+D23+D44+D45+D46</f>
        <v>10</v>
      </c>
      <c r="E41" s="44" t="s">
        <v>6</v>
      </c>
      <c r="F41" s="17">
        <f>VLOOKUP(Лист1!K8,Лист1!D18:E30,2,0)</f>
        <v>3.7</v>
      </c>
      <c r="G41" s="88" t="s">
        <v>30</v>
      </c>
      <c r="H41" s="88"/>
      <c r="I41" s="38">
        <f>VLOOKUP(Лист1!K8,Лист1!D18:F30,3,0)</f>
        <v>2</v>
      </c>
      <c r="J41" s="89">
        <f>D41*F41</f>
        <v>37</v>
      </c>
      <c r="K41" s="90"/>
      <c r="L41" s="26" t="s">
        <v>32</v>
      </c>
      <c r="M41" s="25">
        <v>0</v>
      </c>
      <c r="N41" s="84">
        <f>M41*J41</f>
        <v>0</v>
      </c>
      <c r="O41" s="85"/>
      <c r="P41" s="172">
        <f>ROUNDUP(J41/25,0)</f>
        <v>2</v>
      </c>
      <c r="Q41" s="173" t="str">
        <f>IF(C5="Минеральная","меш.","вед.")</f>
        <v>вед.</v>
      </c>
      <c r="R41" s="126">
        <v>0</v>
      </c>
      <c r="S41" s="126"/>
      <c r="T41" s="127">
        <f>R41*P41</f>
        <v>0</v>
      </c>
      <c r="V41" s="144"/>
      <c r="W41" s="144"/>
      <c r="X41" s="144"/>
      <c r="Y41" s="144"/>
      <c r="Z41" s="144"/>
      <c r="AA41" s="144"/>
      <c r="AB41" s="144"/>
      <c r="AC41" s="144"/>
    </row>
    <row r="42" spans="2:29" ht="18" customHeight="1" x14ac:dyDescent="0.35">
      <c r="B42" s="100" t="str">
        <f>IF(C5="Полимерная","-",VLOOKUP(C4,Лист1!L2:N4,3,0))</f>
        <v>-</v>
      </c>
      <c r="C42" s="101"/>
      <c r="D42" s="47"/>
      <c r="E42" s="47"/>
      <c r="F42" s="47"/>
      <c r="G42" s="47"/>
      <c r="H42" s="47"/>
      <c r="I42" s="56"/>
      <c r="J42" s="57"/>
      <c r="K42" s="58"/>
      <c r="L42" s="58"/>
      <c r="M42" s="58"/>
      <c r="N42" s="58"/>
      <c r="O42" s="59"/>
      <c r="P42" s="131"/>
      <c r="Q42" s="132"/>
      <c r="R42" s="132"/>
      <c r="S42" s="132"/>
      <c r="T42" s="133"/>
      <c r="V42" s="144"/>
      <c r="W42" s="144"/>
      <c r="X42" s="144"/>
      <c r="Y42" s="144"/>
      <c r="Z42" s="144"/>
      <c r="AA42" s="144"/>
      <c r="AB42" s="144"/>
      <c r="AC42" s="144"/>
    </row>
    <row r="43" spans="2:29" x14ac:dyDescent="0.35">
      <c r="B43" s="105" t="s">
        <v>50</v>
      </c>
      <c r="C43" s="106"/>
      <c r="D43" s="16">
        <f>C10+D23</f>
        <v>10</v>
      </c>
      <c r="E43" s="40" t="s">
        <v>6</v>
      </c>
      <c r="F43" s="40">
        <f>VLOOKUP(Лист1!K8,Лист1!D18:H30,5,0)</f>
        <v>0.65</v>
      </c>
      <c r="G43" s="47" t="s">
        <v>30</v>
      </c>
      <c r="H43" s="47"/>
      <c r="I43" s="45" t="s">
        <v>54</v>
      </c>
      <c r="J43" s="86">
        <f>F43*D43</f>
        <v>6.5</v>
      </c>
      <c r="K43" s="87"/>
      <c r="L43" s="24" t="s">
        <v>32</v>
      </c>
      <c r="M43" s="25">
        <v>0</v>
      </c>
      <c r="N43" s="84">
        <f>M43*J43</f>
        <v>0</v>
      </c>
      <c r="O43" s="85"/>
      <c r="P43" s="169">
        <f>ROUNDUP(J43/25,0)</f>
        <v>1</v>
      </c>
      <c r="Q43" s="170" t="s">
        <v>42</v>
      </c>
      <c r="R43" s="126">
        <v>0</v>
      </c>
      <c r="S43" s="126"/>
      <c r="T43" s="127">
        <f>R43*P43</f>
        <v>0</v>
      </c>
      <c r="V43" s="144"/>
      <c r="W43" s="144"/>
      <c r="X43" s="144"/>
      <c r="Y43" s="144"/>
      <c r="Z43" s="144"/>
      <c r="AA43" s="144"/>
      <c r="AB43" s="144"/>
      <c r="AC43" s="144"/>
    </row>
    <row r="44" spans="2:29" x14ac:dyDescent="0.35">
      <c r="B44" s="105" t="s">
        <v>53</v>
      </c>
      <c r="C44" s="106"/>
      <c r="D44" s="40"/>
      <c r="E44" s="40" t="s">
        <v>6</v>
      </c>
      <c r="F44" s="40">
        <f>F43</f>
        <v>0.65</v>
      </c>
      <c r="G44" s="47" t="s">
        <v>30</v>
      </c>
      <c r="H44" s="47"/>
      <c r="I44" s="45" t="s">
        <v>54</v>
      </c>
      <c r="J44" s="86">
        <f>F44*D44</f>
        <v>0</v>
      </c>
      <c r="K44" s="87"/>
      <c r="L44" s="24" t="s">
        <v>32</v>
      </c>
      <c r="M44" s="25">
        <v>0</v>
      </c>
      <c r="N44" s="84">
        <f>M44*J44</f>
        <v>0</v>
      </c>
      <c r="O44" s="85"/>
      <c r="P44" s="169">
        <f>ROUNDUP(J44/25,0)</f>
        <v>0</v>
      </c>
      <c r="Q44" s="170" t="s">
        <v>42</v>
      </c>
      <c r="R44" s="126">
        <v>0</v>
      </c>
      <c r="S44" s="126"/>
      <c r="T44" s="127">
        <f>R44*P44</f>
        <v>0</v>
      </c>
      <c r="V44" s="144"/>
      <c r="W44" s="144"/>
      <c r="X44" s="144"/>
      <c r="Y44" s="144"/>
      <c r="Z44" s="144"/>
      <c r="AA44" s="144"/>
      <c r="AB44" s="144"/>
      <c r="AC44" s="144"/>
    </row>
    <row r="45" spans="2:29" x14ac:dyDescent="0.35">
      <c r="B45" s="105" t="s">
        <v>51</v>
      </c>
      <c r="C45" s="106"/>
      <c r="D45" s="40"/>
      <c r="E45" s="40" t="s">
        <v>6</v>
      </c>
      <c r="F45" s="40">
        <f>F43</f>
        <v>0.65</v>
      </c>
      <c r="G45" s="47" t="s">
        <v>30</v>
      </c>
      <c r="H45" s="47"/>
      <c r="I45" s="45" t="s">
        <v>54</v>
      </c>
      <c r="J45" s="86">
        <f>F45*D45</f>
        <v>0</v>
      </c>
      <c r="K45" s="87"/>
      <c r="L45" s="24" t="s">
        <v>32</v>
      </c>
      <c r="M45" s="25">
        <v>0</v>
      </c>
      <c r="N45" s="84">
        <f>M45*J45</f>
        <v>0</v>
      </c>
      <c r="O45" s="85"/>
      <c r="P45" s="169">
        <f>ROUNDUP(J45/25,0)</f>
        <v>0</v>
      </c>
      <c r="Q45" s="170" t="s">
        <v>42</v>
      </c>
      <c r="R45" s="126">
        <v>0</v>
      </c>
      <c r="S45" s="126"/>
      <c r="T45" s="127">
        <f>R45*P45</f>
        <v>0</v>
      </c>
      <c r="V45" s="144"/>
      <c r="W45" s="144"/>
      <c r="X45" s="144"/>
      <c r="Y45" s="144"/>
      <c r="Z45" s="144"/>
      <c r="AA45" s="144"/>
      <c r="AB45" s="144"/>
      <c r="AC45" s="144"/>
    </row>
    <row r="46" spans="2:29" ht="15" thickBot="1" x14ac:dyDescent="0.4">
      <c r="B46" s="107" t="s">
        <v>52</v>
      </c>
      <c r="C46" s="108"/>
      <c r="D46" s="41"/>
      <c r="E46" s="41" t="s">
        <v>6</v>
      </c>
      <c r="F46" s="41">
        <f>F43</f>
        <v>0.65</v>
      </c>
      <c r="G46" s="109" t="s">
        <v>30</v>
      </c>
      <c r="H46" s="109"/>
      <c r="I46" s="39" t="s">
        <v>54</v>
      </c>
      <c r="J46" s="86">
        <f>F46*D46</f>
        <v>0</v>
      </c>
      <c r="K46" s="87"/>
      <c r="L46" s="24" t="s">
        <v>32</v>
      </c>
      <c r="M46" s="25">
        <v>0</v>
      </c>
      <c r="N46" s="84">
        <f>M46*J46</f>
        <v>0</v>
      </c>
      <c r="O46" s="85"/>
      <c r="P46" s="169">
        <f>ROUNDUP(J46/25,0)</f>
        <v>0</v>
      </c>
      <c r="Q46" s="170" t="s">
        <v>42</v>
      </c>
      <c r="R46" s="126">
        <v>0</v>
      </c>
      <c r="S46" s="126"/>
      <c r="T46" s="127">
        <f>R46*P46</f>
        <v>0</v>
      </c>
      <c r="V46" s="144"/>
      <c r="W46" s="144"/>
      <c r="X46" s="144"/>
      <c r="Y46" s="144"/>
      <c r="Z46" s="144"/>
      <c r="AA46" s="144"/>
      <c r="AB46" s="144"/>
      <c r="AC46" s="144"/>
    </row>
    <row r="47" spans="2:29" ht="18.649999999999999" customHeight="1" thickBot="1" x14ac:dyDescent="0.4">
      <c r="B47" s="33"/>
      <c r="C47" s="33"/>
      <c r="D47" s="33"/>
      <c r="E47" s="33"/>
      <c r="F47" s="33"/>
      <c r="G47" s="33"/>
      <c r="H47" s="33"/>
      <c r="I47" s="33"/>
      <c r="J47" s="60" t="s">
        <v>67</v>
      </c>
      <c r="K47" s="61"/>
      <c r="L47" s="61"/>
      <c r="M47" s="62"/>
      <c r="N47" s="49">
        <f>N28+N30+N31+N34+N35+N40+N41+N43+N44+N45+N46</f>
        <v>0</v>
      </c>
      <c r="O47" s="50"/>
      <c r="P47" s="60" t="s">
        <v>67</v>
      </c>
      <c r="Q47" s="61"/>
      <c r="R47" s="61"/>
      <c r="S47" s="62"/>
      <c r="T47" s="32">
        <f>T28+T30+T31+T34+T35+T40+T41+T43+T44+T45+T46</f>
        <v>100</v>
      </c>
      <c r="V47" s="144"/>
      <c r="W47" s="144"/>
      <c r="X47" s="144"/>
      <c r="Y47" s="144"/>
      <c r="Z47" s="144"/>
      <c r="AA47" s="144"/>
      <c r="AB47" s="144"/>
      <c r="AC47" s="144"/>
    </row>
    <row r="48" spans="2:29" x14ac:dyDescent="0.35">
      <c r="P48" s="165" t="s">
        <v>127</v>
      </c>
      <c r="Q48" s="165"/>
      <c r="R48" s="165"/>
      <c r="S48" s="165"/>
      <c r="T48" s="166">
        <v>50</v>
      </c>
      <c r="V48" s="144"/>
      <c r="W48" s="144"/>
      <c r="X48" s="144"/>
      <c r="Y48" s="144"/>
      <c r="Z48" s="144"/>
      <c r="AA48" s="144"/>
      <c r="AB48" s="144"/>
      <c r="AC48" s="144"/>
    </row>
    <row r="49" spans="16:29" x14ac:dyDescent="0.35">
      <c r="P49" s="167" t="s">
        <v>126</v>
      </c>
      <c r="Q49" s="167"/>
      <c r="R49" s="167"/>
      <c r="S49" s="167"/>
      <c r="T49" s="168">
        <f>T47*T48/100</f>
        <v>50</v>
      </c>
      <c r="V49" s="144"/>
      <c r="W49" s="144"/>
      <c r="X49" s="144"/>
      <c r="Y49" s="144"/>
      <c r="Z49" s="144"/>
      <c r="AA49" s="144"/>
      <c r="AB49" s="144"/>
      <c r="AC49" s="144"/>
    </row>
    <row r="50" spans="16:29" x14ac:dyDescent="0.35">
      <c r="P50" s="167" t="s">
        <v>128</v>
      </c>
      <c r="Q50" s="167"/>
      <c r="R50" s="167"/>
      <c r="S50" s="167"/>
      <c r="T50" s="168">
        <f>T47-T49</f>
        <v>50</v>
      </c>
      <c r="V50" s="144"/>
      <c r="W50" s="144"/>
      <c r="X50" s="144"/>
      <c r="Y50" s="144"/>
      <c r="Z50" s="144"/>
      <c r="AA50" s="144"/>
      <c r="AB50" s="144"/>
      <c r="AC50" s="144"/>
    </row>
  </sheetData>
  <sheetProtection algorithmName="SHA-512" hashValue="4zOSDyWNbGmcz0TsTrpIaRzBdLeiBYOn/pyGtN5c59exRvBlsVI2DHIy7ScrcFJyFlnaQgM9hzBf03PSo3L5bA==" saltValue="AlH1ctpt+BW2fEUjMnMp/Q==" spinCount="100000" sheet="1" formatCells="0" formatColumns="0" formatRows="0" sort="0" autoFilter="0" pivotTables="0"/>
  <mergeCells count="140">
    <mergeCell ref="T13:U13"/>
    <mergeCell ref="T16:U16"/>
    <mergeCell ref="B21:C21"/>
    <mergeCell ref="B22:C22"/>
    <mergeCell ref="G13:G15"/>
    <mergeCell ref="G16:G18"/>
    <mergeCell ref="K13:K15"/>
    <mergeCell ref="K16:K18"/>
    <mergeCell ref="D13:E13"/>
    <mergeCell ref="D16:E16"/>
    <mergeCell ref="B13:B15"/>
    <mergeCell ref="B16:B18"/>
    <mergeCell ref="C13:C15"/>
    <mergeCell ref="C16:C18"/>
    <mergeCell ref="B19:C19"/>
    <mergeCell ref="B20:C20"/>
    <mergeCell ref="S13:S15"/>
    <mergeCell ref="P13:Q13"/>
    <mergeCell ref="H16:I16"/>
    <mergeCell ref="S16:S18"/>
    <mergeCell ref="B9:E9"/>
    <mergeCell ref="J28:K28"/>
    <mergeCell ref="G30:H30"/>
    <mergeCell ref="G28:H28"/>
    <mergeCell ref="J25:K25"/>
    <mergeCell ref="B23:C23"/>
    <mergeCell ref="P16:Q16"/>
    <mergeCell ref="L13:M13"/>
    <mergeCell ref="L16:M16"/>
    <mergeCell ref="H13:I13"/>
    <mergeCell ref="N25:O25"/>
    <mergeCell ref="N28:O28"/>
    <mergeCell ref="N30:O30"/>
    <mergeCell ref="O13:O15"/>
    <mergeCell ref="O16:O18"/>
    <mergeCell ref="B28:C28"/>
    <mergeCell ref="B30:C30"/>
    <mergeCell ref="B25:C26"/>
    <mergeCell ref="B32:C32"/>
    <mergeCell ref="B31:C31"/>
    <mergeCell ref="N31:O31"/>
    <mergeCell ref="G40:H40"/>
    <mergeCell ref="J40:K40"/>
    <mergeCell ref="B45:C45"/>
    <mergeCell ref="B46:C46"/>
    <mergeCell ref="G43:H43"/>
    <mergeCell ref="G44:H44"/>
    <mergeCell ref="G45:H45"/>
    <mergeCell ref="G46:H46"/>
    <mergeCell ref="B40:C40"/>
    <mergeCell ref="B41:C41"/>
    <mergeCell ref="B42:C42"/>
    <mergeCell ref="B43:C43"/>
    <mergeCell ref="B44:C44"/>
    <mergeCell ref="J43:K43"/>
    <mergeCell ref="J44:K44"/>
    <mergeCell ref="B34:C34"/>
    <mergeCell ref="B35:C35"/>
    <mergeCell ref="B36:C36"/>
    <mergeCell ref="B37:C37"/>
    <mergeCell ref="G34:H34"/>
    <mergeCell ref="J34:K34"/>
    <mergeCell ref="G36:H36"/>
    <mergeCell ref="J36:K36"/>
    <mergeCell ref="G35:H35"/>
    <mergeCell ref="R44:S44"/>
    <mergeCell ref="R45:S45"/>
    <mergeCell ref="R46:S46"/>
    <mergeCell ref="R28:S28"/>
    <mergeCell ref="R30:S30"/>
    <mergeCell ref="R31:S31"/>
    <mergeCell ref="R34:S34"/>
    <mergeCell ref="R35:S35"/>
    <mergeCell ref="R40:S40"/>
    <mergeCell ref="R41:S41"/>
    <mergeCell ref="R43:S43"/>
    <mergeCell ref="N45:O45"/>
    <mergeCell ref="N46:O46"/>
    <mergeCell ref="J33:O33"/>
    <mergeCell ref="J39:O39"/>
    <mergeCell ref="B27:I27"/>
    <mergeCell ref="B29:I29"/>
    <mergeCell ref="B33:I33"/>
    <mergeCell ref="B39:I39"/>
    <mergeCell ref="N34:O34"/>
    <mergeCell ref="N35:O35"/>
    <mergeCell ref="N40:O40"/>
    <mergeCell ref="N41:O41"/>
    <mergeCell ref="N43:O43"/>
    <mergeCell ref="N44:O44"/>
    <mergeCell ref="J45:K45"/>
    <mergeCell ref="J46:K46"/>
    <mergeCell ref="G41:H41"/>
    <mergeCell ref="J41:K41"/>
    <mergeCell ref="J35:K35"/>
    <mergeCell ref="G37:H37"/>
    <mergeCell ref="J37:K37"/>
    <mergeCell ref="B38:C38"/>
    <mergeCell ref="G38:H38"/>
    <mergeCell ref="J38:K38"/>
    <mergeCell ref="G25:H26"/>
    <mergeCell ref="F25:F26"/>
    <mergeCell ref="E25:E26"/>
    <mergeCell ref="D25:D26"/>
    <mergeCell ref="P27:T27"/>
    <mergeCell ref="P29:T29"/>
    <mergeCell ref="P33:T33"/>
    <mergeCell ref="P39:T39"/>
    <mergeCell ref="J27:O27"/>
    <mergeCell ref="J29:O29"/>
    <mergeCell ref="R25:S25"/>
    <mergeCell ref="J32:K32"/>
    <mergeCell ref="J31:K31"/>
    <mergeCell ref="J30:K30"/>
    <mergeCell ref="G32:H32"/>
    <mergeCell ref="G31:H31"/>
    <mergeCell ref="P49:S49"/>
    <mergeCell ref="P50:S50"/>
    <mergeCell ref="C4:E4"/>
    <mergeCell ref="C5:E5"/>
    <mergeCell ref="C6:E6"/>
    <mergeCell ref="B3:E3"/>
    <mergeCell ref="B7:E8"/>
    <mergeCell ref="B12:E12"/>
    <mergeCell ref="C10:D10"/>
    <mergeCell ref="C11:D11"/>
    <mergeCell ref="P48:S48"/>
    <mergeCell ref="N47:O47"/>
    <mergeCell ref="J26:O26"/>
    <mergeCell ref="P26:T26"/>
    <mergeCell ref="D42:I42"/>
    <mergeCell ref="J42:O42"/>
    <mergeCell ref="P42:T42"/>
    <mergeCell ref="P36:T38"/>
    <mergeCell ref="P32:T32"/>
    <mergeCell ref="P47:S47"/>
    <mergeCell ref="J47:M47"/>
    <mergeCell ref="M36:O38"/>
    <mergeCell ref="M32:O32"/>
    <mergeCell ref="I25:I26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Лист1!$C$3:$C$5</xm:f>
          </x14:formula1>
          <xm:sqref>C4</xm:sqref>
        </x14:dataValidation>
        <x14:dataValidation type="list" allowBlank="1" showInputMessage="1" showErrorMessage="1">
          <x14:formula1>
            <xm:f>Лист1!$K$3:$K$4</xm:f>
          </x14:formula1>
          <xm:sqref>C5</xm:sqref>
        </x14:dataValidation>
        <x14:dataValidation type="list" allowBlank="1" showInputMessage="1" showErrorMessage="1">
          <x14:formula1>
            <xm:f>Лист1!$C$21:$C$23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opLeftCell="A10" zoomScale="80" zoomScaleNormal="80" workbookViewId="0">
      <selection activeCell="K23" sqref="K23"/>
    </sheetView>
  </sheetViews>
  <sheetFormatPr defaultRowHeight="14.5" x14ac:dyDescent="0.35"/>
  <cols>
    <col min="3" max="3" width="31.7265625" customWidth="1"/>
    <col min="4" max="4" width="9" customWidth="1"/>
    <col min="5" max="5" width="11.26953125" customWidth="1"/>
    <col min="6" max="6" width="11.08984375" customWidth="1"/>
    <col min="8" max="8" width="8.7265625" style="20"/>
    <col min="10" max="10" width="11.08984375" customWidth="1"/>
    <col min="11" max="12" width="16.36328125" customWidth="1"/>
    <col min="13" max="13" width="27.453125" customWidth="1"/>
  </cols>
  <sheetData>
    <row r="1" spans="3:14" x14ac:dyDescent="0.35">
      <c r="L1" s="18" t="s">
        <v>108</v>
      </c>
      <c r="M1" s="18" t="s">
        <v>76</v>
      </c>
      <c r="N1" s="18" t="s">
        <v>109</v>
      </c>
    </row>
    <row r="2" spans="3:14" x14ac:dyDescent="0.35">
      <c r="C2" s="1" t="s">
        <v>74</v>
      </c>
      <c r="E2" t="s">
        <v>62</v>
      </c>
      <c r="K2" s="5" t="s">
        <v>77</v>
      </c>
      <c r="L2" s="29" t="s">
        <v>123</v>
      </c>
      <c r="M2" s="27" t="s">
        <v>104</v>
      </c>
      <c r="N2" s="27" t="s">
        <v>120</v>
      </c>
    </row>
    <row r="3" spans="3:14" ht="15" customHeight="1" x14ac:dyDescent="0.35">
      <c r="C3" s="30" t="s">
        <v>123</v>
      </c>
      <c r="D3" s="29" t="s">
        <v>123</v>
      </c>
      <c r="E3" s="29" t="s">
        <v>61</v>
      </c>
      <c r="F3" s="29"/>
      <c r="K3" s="28" t="s">
        <v>78</v>
      </c>
      <c r="L3" t="s">
        <v>124</v>
      </c>
      <c r="M3" s="29" t="s">
        <v>98</v>
      </c>
      <c r="N3" s="27" t="s">
        <v>121</v>
      </c>
    </row>
    <row r="4" spans="3:14" x14ac:dyDescent="0.35">
      <c r="C4" s="1" t="s">
        <v>124</v>
      </c>
      <c r="D4" t="s">
        <v>124</v>
      </c>
      <c r="E4" t="s">
        <v>119</v>
      </c>
      <c r="K4" s="1" t="s">
        <v>79</v>
      </c>
      <c r="L4" t="s">
        <v>75</v>
      </c>
      <c r="M4" s="27" t="s">
        <v>103</v>
      </c>
      <c r="N4" s="27" t="s">
        <v>122</v>
      </c>
    </row>
    <row r="5" spans="3:14" x14ac:dyDescent="0.35">
      <c r="C5" s="1" t="s">
        <v>75</v>
      </c>
      <c r="D5" t="s">
        <v>75</v>
      </c>
      <c r="E5" t="s">
        <v>119</v>
      </c>
    </row>
    <row r="6" spans="3:14" x14ac:dyDescent="0.35">
      <c r="C6" s="1"/>
      <c r="D6" s="1"/>
      <c r="E6" s="1"/>
      <c r="F6" s="2"/>
      <c r="G6" s="2"/>
      <c r="H6" s="19"/>
      <c r="I6" s="2"/>
      <c r="J6" s="1"/>
      <c r="K6" t="s">
        <v>80</v>
      </c>
      <c r="L6" s="1"/>
      <c r="M6" s="1"/>
    </row>
    <row r="7" spans="3:14" x14ac:dyDescent="0.35">
      <c r="C7" s="1" t="s">
        <v>62</v>
      </c>
      <c r="D7" s="2"/>
      <c r="E7" s="2" t="s">
        <v>65</v>
      </c>
      <c r="F7" s="2"/>
      <c r="G7" s="2"/>
      <c r="H7" s="19"/>
      <c r="I7" s="2"/>
      <c r="J7" s="1"/>
      <c r="K7" s="1"/>
      <c r="L7" s="1"/>
      <c r="M7" s="1"/>
    </row>
    <row r="8" spans="3:14" x14ac:dyDescent="0.35">
      <c r="C8" s="1" t="s">
        <v>63</v>
      </c>
      <c r="D8" s="2" t="s">
        <v>63</v>
      </c>
      <c r="E8" s="2">
        <f>СФТК!C11+(СФТК!I30+СФТК!I34)/1000</f>
        <v>150.01400000000001</v>
      </c>
      <c r="F8" s="2"/>
      <c r="G8" s="2"/>
      <c r="H8" s="19"/>
      <c r="I8" s="2"/>
      <c r="J8" s="1"/>
      <c r="K8" s="1" t="str">
        <f>СФТК!B41 &amp; СФТК!C6</f>
        <v>Акриловая декоративная штукатурка vetonit pas akrylat (25 кг)2.0мм "шуба"</v>
      </c>
      <c r="L8" s="1"/>
      <c r="M8" s="1"/>
    </row>
    <row r="9" spans="3:14" x14ac:dyDescent="0.35">
      <c r="C9" s="1" t="s">
        <v>64</v>
      </c>
      <c r="D9" s="2" t="s">
        <v>64</v>
      </c>
      <c r="E9" s="2">
        <v>0.1</v>
      </c>
      <c r="F9" s="2"/>
      <c r="G9" s="2"/>
      <c r="H9" s="19"/>
      <c r="I9" s="2"/>
      <c r="J9" s="1"/>
      <c r="K9" s="1"/>
      <c r="L9" s="1"/>
      <c r="M9" s="1"/>
    </row>
    <row r="10" spans="3:14" x14ac:dyDescent="0.35">
      <c r="C10" s="1">
        <v>1</v>
      </c>
      <c r="D10" s="2">
        <v>2</v>
      </c>
      <c r="E10" s="2">
        <v>3</v>
      </c>
      <c r="F10" s="2">
        <v>4</v>
      </c>
      <c r="G10" s="2">
        <v>5</v>
      </c>
      <c r="H10" s="19">
        <v>6</v>
      </c>
      <c r="I10" s="2"/>
      <c r="J10" s="1"/>
      <c r="K10" s="1"/>
      <c r="L10" s="1"/>
      <c r="M10" s="1"/>
    </row>
    <row r="11" spans="3:14" x14ac:dyDescent="0.35">
      <c r="C11" s="1"/>
      <c r="D11" s="2" t="s">
        <v>38</v>
      </c>
      <c r="E11" s="2" t="s">
        <v>45</v>
      </c>
      <c r="F11" s="2" t="s">
        <v>55</v>
      </c>
      <c r="G11" s="1"/>
      <c r="H11" s="19"/>
      <c r="I11" s="2"/>
      <c r="J11" s="1"/>
      <c r="K11" s="1"/>
      <c r="L11" s="1"/>
      <c r="M11" s="1"/>
    </row>
    <row r="12" spans="3:14" x14ac:dyDescent="0.35">
      <c r="C12" s="1" t="s">
        <v>72</v>
      </c>
      <c r="D12" s="3">
        <v>0.15</v>
      </c>
      <c r="E12" s="2" t="s">
        <v>40</v>
      </c>
      <c r="F12" s="3">
        <f>ROUNDUP(СФТК!J40/10,0)</f>
        <v>1</v>
      </c>
      <c r="G12" s="1" t="s">
        <v>41</v>
      </c>
      <c r="H12" s="19" t="s">
        <v>39</v>
      </c>
      <c r="I12" s="2"/>
      <c r="J12" s="1"/>
      <c r="K12" s="1"/>
      <c r="L12" s="1"/>
      <c r="M12" s="1"/>
    </row>
    <row r="13" spans="3:14" x14ac:dyDescent="0.35">
      <c r="C13" s="1" t="s">
        <v>71</v>
      </c>
      <c r="D13" s="3">
        <v>0.2</v>
      </c>
      <c r="E13" s="2" t="s">
        <v>30</v>
      </c>
      <c r="F13" s="3">
        <f>ROUNDUP(СФТК!J40/25,0)</f>
        <v>1</v>
      </c>
      <c r="G13" s="1" t="s">
        <v>42</v>
      </c>
      <c r="H13" s="19" t="s">
        <v>32</v>
      </c>
      <c r="I13" s="2"/>
      <c r="J13" s="1"/>
      <c r="K13" s="1"/>
      <c r="L13" s="1"/>
      <c r="M13" s="1"/>
    </row>
    <row r="14" spans="3:14" x14ac:dyDescent="0.35">
      <c r="C14" s="1" t="s">
        <v>26</v>
      </c>
      <c r="D14" s="1">
        <v>0</v>
      </c>
      <c r="E14" s="2">
        <v>0</v>
      </c>
      <c r="F14" s="2">
        <v>0</v>
      </c>
      <c r="G14" s="2">
        <v>0</v>
      </c>
      <c r="H14" s="19">
        <v>0</v>
      </c>
      <c r="I14" s="2"/>
      <c r="J14" s="1"/>
      <c r="K14" s="1"/>
      <c r="L14" s="1"/>
      <c r="M14" s="1"/>
    </row>
    <row r="15" spans="3:14" x14ac:dyDescent="0.35">
      <c r="C15" s="1"/>
      <c r="D15" s="1"/>
      <c r="E15" s="2"/>
      <c r="F15" s="2"/>
      <c r="G15" s="2"/>
      <c r="H15" s="19"/>
      <c r="I15" s="2"/>
      <c r="J15" s="1"/>
      <c r="K15" s="1"/>
      <c r="L15" s="1"/>
      <c r="M15" s="1"/>
    </row>
    <row r="16" spans="3:14" x14ac:dyDescent="0.35">
      <c r="C16" s="1"/>
      <c r="D16" s="2">
        <v>1</v>
      </c>
      <c r="E16" s="2">
        <v>2</v>
      </c>
      <c r="F16" s="2">
        <v>3</v>
      </c>
      <c r="G16" s="2">
        <v>4</v>
      </c>
      <c r="H16" s="19">
        <v>5</v>
      </c>
      <c r="I16" s="2"/>
      <c r="J16" s="2"/>
      <c r="K16" s="2"/>
      <c r="L16" s="2"/>
      <c r="M16" s="1"/>
    </row>
    <row r="17" spans="2:13" x14ac:dyDescent="0.35">
      <c r="C17" s="1" t="s">
        <v>43</v>
      </c>
      <c r="D17" s="2"/>
      <c r="E17" s="2" t="s">
        <v>38</v>
      </c>
      <c r="F17" s="2" t="s">
        <v>44</v>
      </c>
      <c r="G17" s="19" t="s">
        <v>46</v>
      </c>
      <c r="H17" s="2"/>
      <c r="J17" s="2"/>
      <c r="K17" s="2"/>
      <c r="L17" s="2"/>
      <c r="M17" s="1"/>
    </row>
    <row r="18" spans="2:13" x14ac:dyDescent="0.35">
      <c r="B18" s="115" t="s">
        <v>86</v>
      </c>
      <c r="C18" s="1" t="s">
        <v>83</v>
      </c>
      <c r="D18" s="1" t="s">
        <v>92</v>
      </c>
      <c r="E18" s="3">
        <v>2.2000000000000002</v>
      </c>
      <c r="F18" s="3">
        <v>1.5</v>
      </c>
      <c r="G18" s="19" t="s">
        <v>33</v>
      </c>
      <c r="H18" s="2">
        <v>0.55000000000000004</v>
      </c>
      <c r="J18" s="14"/>
      <c r="K18" s="1"/>
      <c r="L18" s="1"/>
      <c r="M18" s="1"/>
    </row>
    <row r="19" spans="2:13" x14ac:dyDescent="0.35">
      <c r="B19" s="115"/>
      <c r="C19" s="1" t="s">
        <v>84</v>
      </c>
      <c r="D19" s="1" t="s">
        <v>93</v>
      </c>
      <c r="E19" s="3">
        <v>3</v>
      </c>
      <c r="F19" s="3">
        <v>2</v>
      </c>
      <c r="G19" s="19" t="s">
        <v>33</v>
      </c>
      <c r="H19" s="2">
        <v>0.65</v>
      </c>
      <c r="J19" s="14"/>
      <c r="K19" s="1"/>
      <c r="L19" s="1"/>
      <c r="M19" s="1"/>
    </row>
    <row r="20" spans="2:13" x14ac:dyDescent="0.35">
      <c r="B20" s="115"/>
      <c r="C20" s="1" t="s">
        <v>85</v>
      </c>
      <c r="D20" s="1" t="s">
        <v>94</v>
      </c>
      <c r="E20" s="3">
        <v>2.6</v>
      </c>
      <c r="F20" s="3">
        <v>2</v>
      </c>
      <c r="G20" s="19" t="s">
        <v>33</v>
      </c>
      <c r="H20" s="2">
        <v>0.65</v>
      </c>
      <c r="J20" s="14"/>
      <c r="K20" s="1"/>
      <c r="L20" s="1"/>
      <c r="M20" s="1"/>
    </row>
    <row r="21" spans="2:13" x14ac:dyDescent="0.35">
      <c r="B21" s="115" t="s">
        <v>87</v>
      </c>
      <c r="C21" s="1" t="s">
        <v>83</v>
      </c>
      <c r="D21" s="1" t="s">
        <v>95</v>
      </c>
      <c r="E21" s="3">
        <v>2.8</v>
      </c>
      <c r="F21" s="3">
        <v>1.5</v>
      </c>
      <c r="G21" s="19" t="s">
        <v>42</v>
      </c>
      <c r="H21" s="2">
        <v>0.55000000000000004</v>
      </c>
      <c r="J21" s="14"/>
      <c r="K21" s="1"/>
      <c r="L21" s="1"/>
      <c r="M21" s="1"/>
    </row>
    <row r="22" spans="2:13" x14ac:dyDescent="0.35">
      <c r="B22" s="115"/>
      <c r="C22" s="1" t="s">
        <v>84</v>
      </c>
      <c r="D22" s="1" t="s">
        <v>96</v>
      </c>
      <c r="E22" s="3">
        <v>3.7</v>
      </c>
      <c r="F22" s="3">
        <v>2</v>
      </c>
      <c r="G22" s="19" t="s">
        <v>42</v>
      </c>
      <c r="H22" s="2">
        <v>0.65</v>
      </c>
      <c r="J22" s="14"/>
      <c r="K22" s="1"/>
      <c r="L22" s="1"/>
      <c r="M22" s="1"/>
    </row>
    <row r="23" spans="2:13" x14ac:dyDescent="0.35">
      <c r="B23" s="115"/>
      <c r="C23" s="1" t="s">
        <v>85</v>
      </c>
      <c r="D23" s="1" t="s">
        <v>97</v>
      </c>
      <c r="E23" s="3">
        <v>3</v>
      </c>
      <c r="F23" s="3">
        <v>2</v>
      </c>
      <c r="G23" s="19" t="s">
        <v>42</v>
      </c>
      <c r="H23" s="2">
        <v>0.65</v>
      </c>
      <c r="J23" s="14"/>
      <c r="K23" s="1"/>
      <c r="L23" s="1"/>
      <c r="M23" s="1"/>
    </row>
    <row r="24" spans="2:13" x14ac:dyDescent="0.35">
      <c r="B24" s="115" t="s">
        <v>88</v>
      </c>
      <c r="C24" s="1" t="s">
        <v>90</v>
      </c>
      <c r="D24" s="1" t="s">
        <v>99</v>
      </c>
      <c r="E24" s="3">
        <v>2.25</v>
      </c>
      <c r="F24" s="3">
        <v>0.5</v>
      </c>
      <c r="G24" s="19" t="s">
        <v>42</v>
      </c>
      <c r="H24" s="2">
        <v>0.5</v>
      </c>
      <c r="J24" s="14"/>
      <c r="K24" s="1"/>
      <c r="L24" s="1"/>
      <c r="M24" s="1"/>
    </row>
    <row r="25" spans="2:13" x14ac:dyDescent="0.35">
      <c r="B25" s="115"/>
      <c r="C25" s="1" t="s">
        <v>83</v>
      </c>
      <c r="D25" s="1" t="s">
        <v>100</v>
      </c>
      <c r="E25" s="3">
        <v>2.6</v>
      </c>
      <c r="F25" s="3">
        <v>1.5</v>
      </c>
      <c r="G25" s="19" t="s">
        <v>42</v>
      </c>
      <c r="H25" s="2">
        <v>0.55000000000000004</v>
      </c>
      <c r="J25" s="14"/>
      <c r="K25" s="1"/>
      <c r="L25" s="1"/>
      <c r="M25" s="1"/>
    </row>
    <row r="26" spans="2:13" x14ac:dyDescent="0.35">
      <c r="B26" s="115"/>
      <c r="C26" s="1" t="s">
        <v>84</v>
      </c>
      <c r="D26" s="1" t="s">
        <v>101</v>
      </c>
      <c r="E26" s="3">
        <v>3.1</v>
      </c>
      <c r="F26" s="3">
        <v>2</v>
      </c>
      <c r="G26" s="19" t="s">
        <v>42</v>
      </c>
      <c r="H26" s="2">
        <v>0.65</v>
      </c>
      <c r="J26" s="14"/>
      <c r="K26" s="1"/>
      <c r="L26" s="1"/>
      <c r="M26" s="1"/>
    </row>
    <row r="27" spans="2:13" x14ac:dyDescent="0.35">
      <c r="B27" s="115"/>
      <c r="C27" s="1" t="s">
        <v>85</v>
      </c>
      <c r="D27" s="1" t="s">
        <v>102</v>
      </c>
      <c r="E27" s="3">
        <v>2.9</v>
      </c>
      <c r="F27" s="3">
        <v>2</v>
      </c>
      <c r="G27" s="19" t="s">
        <v>42</v>
      </c>
      <c r="H27" s="2">
        <v>0.65</v>
      </c>
      <c r="J27" s="14"/>
      <c r="K27" s="1"/>
      <c r="L27" s="1"/>
      <c r="M27" s="1"/>
    </row>
    <row r="28" spans="2:13" x14ac:dyDescent="0.35">
      <c r="B28" s="115" t="s">
        <v>89</v>
      </c>
      <c r="C28" s="1" t="s">
        <v>83</v>
      </c>
      <c r="D28" s="1" t="s">
        <v>105</v>
      </c>
      <c r="E28" s="3">
        <v>2.8</v>
      </c>
      <c r="F28" s="3">
        <v>1.5</v>
      </c>
      <c r="G28" s="19" t="s">
        <v>42</v>
      </c>
      <c r="H28" s="2">
        <v>0.55000000000000004</v>
      </c>
      <c r="J28" s="14"/>
      <c r="K28" s="1"/>
      <c r="L28" s="1"/>
      <c r="M28" s="1"/>
    </row>
    <row r="29" spans="2:13" x14ac:dyDescent="0.35">
      <c r="B29" s="115"/>
      <c r="C29" s="1" t="s">
        <v>84</v>
      </c>
      <c r="D29" s="1" t="s">
        <v>106</v>
      </c>
      <c r="E29" s="3">
        <v>3.7</v>
      </c>
      <c r="F29" s="3">
        <v>2</v>
      </c>
      <c r="G29" s="19" t="s">
        <v>42</v>
      </c>
      <c r="H29" s="2">
        <v>0.65</v>
      </c>
      <c r="J29" s="14"/>
      <c r="K29" s="1"/>
      <c r="L29" s="1"/>
      <c r="M29" s="1"/>
    </row>
    <row r="30" spans="2:13" x14ac:dyDescent="0.35">
      <c r="B30" s="115"/>
      <c r="C30" s="1" t="s">
        <v>85</v>
      </c>
      <c r="D30" s="1" t="s">
        <v>107</v>
      </c>
      <c r="E30" s="3">
        <v>3</v>
      </c>
      <c r="F30" s="3">
        <v>2</v>
      </c>
      <c r="G30" s="19" t="s">
        <v>42</v>
      </c>
      <c r="H30" s="2">
        <v>0.65</v>
      </c>
      <c r="J30" s="14"/>
      <c r="K30" s="1"/>
      <c r="L30" s="1"/>
      <c r="M30" s="1"/>
    </row>
    <row r="31" spans="2:13" x14ac:dyDescent="0.35">
      <c r="C31" s="1"/>
      <c r="D31" s="1"/>
      <c r="E31" s="2"/>
      <c r="F31" s="2"/>
      <c r="G31" s="2"/>
      <c r="H31" s="19"/>
      <c r="I31" s="2"/>
      <c r="J31" s="1"/>
      <c r="K31" s="1"/>
      <c r="L31" s="1"/>
      <c r="M31" s="1"/>
    </row>
    <row r="32" spans="2:13" x14ac:dyDescent="0.35">
      <c r="C32" s="5" t="s">
        <v>47</v>
      </c>
      <c r="D32" s="1"/>
      <c r="E32" s="2"/>
      <c r="F32" s="2"/>
      <c r="G32" s="2"/>
      <c r="H32" s="19"/>
      <c r="I32" s="2"/>
      <c r="J32" s="1"/>
      <c r="K32" s="1"/>
      <c r="L32" s="1"/>
      <c r="M32" s="1"/>
    </row>
    <row r="33" spans="3:13" x14ac:dyDescent="0.35">
      <c r="C33" s="6" t="s">
        <v>48</v>
      </c>
      <c r="D33" s="1" t="s">
        <v>48</v>
      </c>
      <c r="E33" s="2"/>
      <c r="F33" s="2"/>
      <c r="G33" s="2"/>
      <c r="H33" s="19"/>
      <c r="I33" s="2"/>
      <c r="J33" s="1"/>
      <c r="K33" s="1"/>
      <c r="L33" s="1"/>
      <c r="M33" s="1"/>
    </row>
    <row r="34" spans="3:13" x14ac:dyDescent="0.35">
      <c r="C34" s="1" t="s">
        <v>49</v>
      </c>
      <c r="D34" s="1" t="s">
        <v>49</v>
      </c>
      <c r="E34" s="2"/>
      <c r="F34" s="2"/>
      <c r="G34" s="2"/>
      <c r="H34" s="19"/>
      <c r="I34" s="2"/>
      <c r="J34" s="1"/>
      <c r="K34" s="1"/>
      <c r="L34" s="1"/>
      <c r="M34" s="1"/>
    </row>
    <row r="35" spans="3:13" x14ac:dyDescent="0.35">
      <c r="C35" s="1"/>
      <c r="D35" s="1"/>
      <c r="E35" s="2"/>
      <c r="F35" s="2"/>
      <c r="G35" s="2"/>
      <c r="H35" s="19"/>
      <c r="I35" s="2"/>
      <c r="J35" s="1"/>
      <c r="K35" s="1"/>
      <c r="L35" s="1"/>
      <c r="M35" s="1"/>
    </row>
    <row r="36" spans="3:13" x14ac:dyDescent="0.35">
      <c r="C36" s="1"/>
      <c r="D36" s="1"/>
      <c r="E36" s="2"/>
      <c r="F36" s="2"/>
      <c r="G36" s="2"/>
      <c r="H36" s="19"/>
      <c r="I36" s="2"/>
      <c r="J36" s="1"/>
      <c r="K36" s="1"/>
      <c r="L36" s="1"/>
      <c r="M36" s="1"/>
    </row>
    <row r="37" spans="3:13" x14ac:dyDescent="0.35">
      <c r="C37" s="5" t="s">
        <v>57</v>
      </c>
      <c r="D37" s="1"/>
      <c r="E37" s="2" t="s">
        <v>59</v>
      </c>
      <c r="F37" s="2" t="s">
        <v>60</v>
      </c>
      <c r="G37" s="2"/>
      <c r="H37" s="19"/>
      <c r="I37" s="2"/>
      <c r="J37" s="1"/>
      <c r="K37" s="1"/>
      <c r="L37" s="1"/>
      <c r="M37" s="1"/>
    </row>
    <row r="38" spans="3:13" x14ac:dyDescent="0.35">
      <c r="C38" s="6" t="s">
        <v>119</v>
      </c>
      <c r="D38" s="1" t="s">
        <v>119</v>
      </c>
      <c r="E38" s="2">
        <f>1.6*0.4*СФТК!I30+1</f>
        <v>7.4000000000000012</v>
      </c>
      <c r="F38" s="2">
        <f>1.6*СФТК!I34+1</f>
        <v>7.4</v>
      </c>
      <c r="G38" s="2"/>
      <c r="H38" s="19"/>
      <c r="I38" s="2"/>
      <c r="J38" s="1"/>
      <c r="K38" s="1"/>
      <c r="L38" s="1"/>
      <c r="M38" s="1"/>
    </row>
    <row r="39" spans="3:13" x14ac:dyDescent="0.35">
      <c r="C39" s="6" t="s">
        <v>61</v>
      </c>
      <c r="D39" s="1" t="s">
        <v>61</v>
      </c>
      <c r="E39" s="2">
        <f>E38-1</f>
        <v>6.4000000000000012</v>
      </c>
      <c r="F39" s="2">
        <f>1.6*СФТК!I34</f>
        <v>6.4</v>
      </c>
      <c r="G39" s="2"/>
      <c r="H39" s="19"/>
      <c r="I39" s="2"/>
      <c r="J39" s="1"/>
      <c r="K39" s="1"/>
      <c r="L39" s="1"/>
      <c r="M39" s="1"/>
    </row>
    <row r="40" spans="3:13" x14ac:dyDescent="0.35">
      <c r="C40" s="1"/>
      <c r="D40" s="1"/>
      <c r="E40" s="2"/>
      <c r="F40" s="2"/>
      <c r="G40" s="2"/>
      <c r="H40" s="19"/>
      <c r="I40" s="2"/>
      <c r="J40" s="1"/>
      <c r="K40" s="1"/>
      <c r="L40" s="1"/>
      <c r="M40" s="1"/>
    </row>
    <row r="41" spans="3:13" x14ac:dyDescent="0.35">
      <c r="C41" s="1"/>
      <c r="D41" s="1"/>
      <c r="E41" s="2"/>
      <c r="F41" s="2"/>
      <c r="G41" s="2"/>
      <c r="H41" s="19"/>
      <c r="I41" s="2"/>
      <c r="J41" s="1"/>
      <c r="K41" s="1"/>
      <c r="L41" s="1"/>
      <c r="M41" s="1"/>
    </row>
  </sheetData>
  <mergeCells count="4">
    <mergeCell ref="B18:B20"/>
    <mergeCell ref="B21:B23"/>
    <mergeCell ref="B24:B27"/>
    <mergeCell ref="B28:B30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СФТК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2024-03-06T12:54:48Z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2022-03-25T16:21:59Z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0cd760a3-56da-4e09-a234-12f242fa1056</vt:lpwstr>
  </property>
  <property fmtid="{D5CDD505-2E9C-101B-9397-08002B2CF9AE}" pid="8" name="MSIP_Label_ced06422-c515-4a4e-a1f2-e6a0c0200eae_ContentBits">
    <vt:lpwstr>0</vt:lpwstr>
  </property>
</Properties>
</file>