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721C0D09-7B52-4E3A-94BD-0FD1945DC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ФТК" sheetId="1" r:id="rId1"/>
    <sheet name="Лист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" l="1"/>
  <c r="F40" i="4"/>
  <c r="E38" i="4"/>
  <c r="F38" i="4"/>
  <c r="G30" i="1" l="1"/>
  <c r="F42" i="4"/>
  <c r="F41" i="4"/>
  <c r="E42" i="4"/>
  <c r="E41" i="4"/>
  <c r="C34" i="1"/>
  <c r="G34" i="1"/>
  <c r="L13" i="4"/>
  <c r="L12" i="4"/>
  <c r="L11" i="4"/>
  <c r="J31" i="1"/>
  <c r="E22" i="1"/>
  <c r="E39" i="4" l="1"/>
  <c r="C42" i="1" l="1"/>
  <c r="R41" i="1"/>
  <c r="C32" i="1" l="1"/>
  <c r="E30" i="1"/>
  <c r="C40" i="1"/>
  <c r="C41" i="1"/>
  <c r="K8" i="4" s="1"/>
  <c r="G43" i="1" l="1"/>
  <c r="J41" i="1"/>
  <c r="G41" i="1"/>
  <c r="F39" i="4" l="1"/>
  <c r="E8" i="4"/>
  <c r="E21" i="1"/>
  <c r="E20" i="1"/>
  <c r="E19" i="1"/>
  <c r="W16" i="1"/>
  <c r="S16" i="1"/>
  <c r="O16" i="1"/>
  <c r="K16" i="1"/>
  <c r="G16" i="1"/>
  <c r="W13" i="1"/>
  <c r="S13" i="1"/>
  <c r="O13" i="1"/>
  <c r="K13" i="1"/>
  <c r="G13" i="1"/>
  <c r="E36" i="1" l="1"/>
  <c r="E23" i="1"/>
  <c r="E41" i="1" s="1"/>
  <c r="E43" i="1" l="1"/>
  <c r="E35" i="1"/>
  <c r="E28" i="1"/>
  <c r="E34" i="1"/>
  <c r="G46" i="1"/>
  <c r="G44" i="1" l="1"/>
  <c r="G45" i="1"/>
  <c r="K46" i="1" l="1"/>
  <c r="K45" i="1"/>
  <c r="K44" i="1"/>
  <c r="G28" i="1"/>
  <c r="M40" i="1" l="1"/>
  <c r="G40" i="1"/>
  <c r="Q45" i="1"/>
  <c r="U45" i="1" s="1"/>
  <c r="O45" i="1"/>
  <c r="Q44" i="1"/>
  <c r="U44" i="1" s="1"/>
  <c r="O44" i="1"/>
  <c r="Q46" i="1"/>
  <c r="U46" i="1" s="1"/>
  <c r="O46" i="1"/>
  <c r="R40" i="1"/>
  <c r="H40" i="1"/>
  <c r="E37" i="1"/>
  <c r="K37" i="1" s="1"/>
  <c r="K36" i="1" l="1"/>
  <c r="E38" i="1"/>
  <c r="K38" i="1" s="1"/>
  <c r="K30" i="1" l="1"/>
  <c r="K34" i="1"/>
  <c r="O34" i="1" s="1"/>
  <c r="K35" i="1"/>
  <c r="Q35" i="1" s="1"/>
  <c r="E40" i="1"/>
  <c r="K40" i="1" s="1"/>
  <c r="E31" i="1"/>
  <c r="K31" i="1" s="1"/>
  <c r="Q31" i="1" s="1"/>
  <c r="K28" i="1"/>
  <c r="O30" i="1" l="1"/>
  <c r="Q34" i="1"/>
  <c r="U34" i="1" s="1"/>
  <c r="Q30" i="1"/>
  <c r="U30" i="1" s="1"/>
  <c r="U31" i="1"/>
  <c r="O31" i="1"/>
  <c r="O35" i="1"/>
  <c r="U35" i="1"/>
  <c r="F13" i="4"/>
  <c r="F12" i="4"/>
  <c r="K41" i="1"/>
  <c r="O41" i="1" s="1"/>
  <c r="E32" i="1"/>
  <c r="K32" i="1" s="1"/>
  <c r="K43" i="1"/>
  <c r="Q43" i="1" s="1"/>
  <c r="U43" i="1" s="1"/>
  <c r="O40" i="1"/>
  <c r="Q28" i="1"/>
  <c r="U28" i="1" s="1"/>
  <c r="O28" i="1"/>
  <c r="Q41" i="1" l="1"/>
  <c r="U41" i="1" s="1"/>
  <c r="Q40" i="1"/>
  <c r="U40" i="1" s="1"/>
  <c r="O43" i="1"/>
  <c r="O47" i="1" l="1"/>
  <c r="U47" i="1"/>
  <c r="U49" i="1" l="1"/>
  <c r="U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умолчанию считается из габаритов за вычетом оконных и дверных проёмов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ветикальных откосов оконных и дверных проёмов</t>
        </r>
      </text>
    </comment>
    <comment ref="C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откосов над оконными и дверными проемами</t>
        </r>
      </text>
    </comment>
    <comment ref="C2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нижних горизонтальных откосов оконных проёмов</t>
        </r>
      </text>
    </comment>
    <comment ref="E2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=100мм при отсутствии теплоизоляции</t>
        </r>
      </text>
    </comment>
    <comment ref="C3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наносится по периметру плит теплоизоляции</t>
        </r>
      </text>
    </comment>
    <comment ref="K3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умолчанию считает 4 внешних угла с нахлестом = толщине ваты</t>
        </r>
      </text>
    </comment>
    <comment ref="C3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включает толщину ваты и толщину клеевого слоя
* конечная длина зависит от натурных испытаний</t>
        </r>
      </text>
    </comment>
    <comment ref="C3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на площади фасада и на всех откосах</t>
        </r>
      </text>
    </comment>
    <comment ref="C3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для вертикальных и нижних горизонтальных откосов + на внешних углах здания</t>
        </r>
      </text>
    </comment>
    <comment ref="C37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для верхних горизонтальных откосов </t>
        </r>
      </text>
    </comment>
    <comment ref="C3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на вертикальных и верхних горизонтальных откосах</t>
        </r>
      </text>
    </comment>
    <comment ref="C4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обязательна для минеральной штукатурки</t>
        </r>
      </text>
    </comment>
    <comment ref="G4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зависит от толщины и зерна декоративного слоя</t>
        </r>
      </text>
    </comment>
  </commentList>
</comments>
</file>

<file path=xl/sharedStrings.xml><?xml version="1.0" encoding="utf-8"?>
<sst xmlns="http://schemas.openxmlformats.org/spreadsheetml/2006/main" count="290" uniqueCount="137">
  <si>
    <t>Длина вертикальных откосов</t>
  </si>
  <si>
    <t>Длина верхних горизонтальных откосов</t>
  </si>
  <si>
    <t>Длина нижних горизонтальных откосов</t>
  </si>
  <si>
    <t>Глубина откосов</t>
  </si>
  <si>
    <t>Площадь откосов</t>
  </si>
  <si>
    <t>м2</t>
  </si>
  <si>
    <t>мп</t>
  </si>
  <si>
    <t>Габариты окон</t>
  </si>
  <si>
    <t>шт.</t>
  </si>
  <si>
    <t>тип 1</t>
  </si>
  <si>
    <t>тип 2</t>
  </si>
  <si>
    <t>тип 3</t>
  </si>
  <si>
    <t>тип 4</t>
  </si>
  <si>
    <t>тип 5</t>
  </si>
  <si>
    <t>Габариты дверей</t>
  </si>
  <si>
    <t>S, м2</t>
  </si>
  <si>
    <t>Наименование материала</t>
  </si>
  <si>
    <t>Ед. изм.</t>
  </si>
  <si>
    <t>Расход</t>
  </si>
  <si>
    <t>Ед.изм.</t>
  </si>
  <si>
    <t>Толщина слоя, мм</t>
  </si>
  <si>
    <t>Объём п/п</t>
  </si>
  <si>
    <t>Кол-во</t>
  </si>
  <si>
    <t>Подготовка основания</t>
  </si>
  <si>
    <t>Монтаж теплоизоляции</t>
  </si>
  <si>
    <t xml:space="preserve"> - </t>
  </si>
  <si>
    <t>мп/мп</t>
  </si>
  <si>
    <t>шт./м2</t>
  </si>
  <si>
    <t>м2/м2</t>
  </si>
  <si>
    <t>кг/м2</t>
  </si>
  <si>
    <t>Устройство армирующего слоя</t>
  </si>
  <si>
    <t>кг</t>
  </si>
  <si>
    <t>меш.</t>
  </si>
  <si>
    <t>1 слой</t>
  </si>
  <si>
    <t>Профиль самоклеющийся оконный с армирующей сеткой 6 мм/9 мм</t>
  </si>
  <si>
    <t>Профиль угловой ПВХ с армирующей сеткой 10х15см</t>
  </si>
  <si>
    <t>Профиль угловой ПВХ с армирующей сеткой и капельником</t>
  </si>
  <si>
    <t>расход</t>
  </si>
  <si>
    <t>л</t>
  </si>
  <si>
    <t>л/м2</t>
  </si>
  <si>
    <t>кан.</t>
  </si>
  <si>
    <t>вед.</t>
  </si>
  <si>
    <t>Декоративный слой</t>
  </si>
  <si>
    <t>толщина</t>
  </si>
  <si>
    <t>ед.изм.</t>
  </si>
  <si>
    <t>тара</t>
  </si>
  <si>
    <t>Краска</t>
  </si>
  <si>
    <t>Фасадная силиконовая краска weber.ton micro V (25 кг)</t>
  </si>
  <si>
    <t>Силикатная фасадная краска weber.ton silikat (25 кг)</t>
  </si>
  <si>
    <t xml:space="preserve">цвет 1 </t>
  </si>
  <si>
    <t xml:space="preserve">цвет 3 </t>
  </si>
  <si>
    <t xml:space="preserve">цвет 4 </t>
  </si>
  <si>
    <t xml:space="preserve">цвет 2 </t>
  </si>
  <si>
    <t>2 слоя</t>
  </si>
  <si>
    <t>кол-во</t>
  </si>
  <si>
    <t>Устройство защитно-декоративного слоя</t>
  </si>
  <si>
    <t>Минвата</t>
  </si>
  <si>
    <t>м3</t>
  </si>
  <si>
    <t>расход клея</t>
  </si>
  <si>
    <t>расход базы</t>
  </si>
  <si>
    <t>ППС / ЭППС</t>
  </si>
  <si>
    <t>утепление</t>
  </si>
  <si>
    <t>да</t>
  </si>
  <si>
    <t>нет</t>
  </si>
  <si>
    <t>откосы</t>
  </si>
  <si>
    <t>рул.</t>
  </si>
  <si>
    <t>Итого</t>
  </si>
  <si>
    <t>Площадь утепляемого фасада (по проекту)</t>
  </si>
  <si>
    <t>длина, м</t>
  </si>
  <si>
    <t>высота, м</t>
  </si>
  <si>
    <t>Фасадная тонирующуя грунтовка vetonit prim Uni (25 кг)</t>
  </si>
  <si>
    <t>Грунтовка для подготовки основания vetonit prim optimus (10 л)</t>
  </si>
  <si>
    <t>Система:</t>
  </si>
  <si>
    <t>Система</t>
  </si>
  <si>
    <t>Премиум</t>
  </si>
  <si>
    <t>декоративка</t>
  </si>
  <si>
    <t>Тип декоративки</t>
  </si>
  <si>
    <t>Минеральная</t>
  </si>
  <si>
    <t>Полимерная</t>
  </si>
  <si>
    <t>Минеральная декоративная штукатурка vetonit min decor (25 кг)</t>
  </si>
  <si>
    <t>Тип декоративной штукатурки:</t>
  </si>
  <si>
    <t>Фактура:</t>
  </si>
  <si>
    <t>1.5мм "шуба"</t>
  </si>
  <si>
    <t>2.0мм "шуба"</t>
  </si>
  <si>
    <t>2.0мм "короед"</t>
  </si>
  <si>
    <t>min</t>
  </si>
  <si>
    <t xml:space="preserve"> extraClean</t>
  </si>
  <si>
    <t>Silikon</t>
  </si>
  <si>
    <t>Akrylat</t>
  </si>
  <si>
    <t>0.5мм "шуба"</t>
  </si>
  <si>
    <t>Армировочно-клеевая смесь vetonit teplofacade (20 кг)</t>
  </si>
  <si>
    <t>Минеральная декоративная штукатурка vetonit min decor (25 кг)1.5мм "шуба"</t>
  </si>
  <si>
    <t>Минеральная декоративная штукатурка vetonit min decor (25 кг)2.0мм "шуба"</t>
  </si>
  <si>
    <t>Минеральная декоративная штукатурка vetonit min decor (25 кг)2.0мм "короед"</t>
  </si>
  <si>
    <t>Силикатно-силиконовая декоративная штукатурка vetonit pas ExtraClean (25 кг)1.5мм "шуба"</t>
  </si>
  <si>
    <t>Силикатно-силиконовая декоративная штукатурка vetonit pas ExtraClean (25 кг)2.0мм "шуба"</t>
  </si>
  <si>
    <t>Силикатно-силиконовая декоративная штукатурка vetonit pas ExtraClean (25 кг)2.0мм "короед"</t>
  </si>
  <si>
    <t>Силикатно-силиконовая декоративная штукатурка vetonit pas ExtraClean (25 кг)</t>
  </si>
  <si>
    <t>Силиконовая декоративная штукатурка vetonit pas silikon (25 кг)0.5мм "шуба"</t>
  </si>
  <si>
    <t>Силиконовая декоративная штукатурка vetonit pas silikon (25 кг)1.5мм "шуба"</t>
  </si>
  <si>
    <t>Силиконовая декоративная штукатурка vetonit pas silikon (25 кг)2.0мм "шуба"</t>
  </si>
  <si>
    <t>Силиконовая декоративная штукатурка vetonit pas silikon (25 кг)2.0мм "короед"</t>
  </si>
  <si>
    <t>Силиконовая декоративная штукатурка vetonit pas silikon (25 кг)</t>
  </si>
  <si>
    <t>Акриловая декоративная штукатурка vetonit pas akrylat (25 кг)</t>
  </si>
  <si>
    <t>Акриловая декоративная штукатурка vetonit pas akrylat (25 кг)1.5мм "шуба"</t>
  </si>
  <si>
    <t>Акриловая декоративная штукатурка vetonit pas akrylat (25 кг)2.0мм "шуба"</t>
  </si>
  <si>
    <t>Акриловая декоративная штукатурка vetonit pas akrylat (25 кг)2.0мм "короед"</t>
  </si>
  <si>
    <t>система</t>
  </si>
  <si>
    <t>краска</t>
  </si>
  <si>
    <t>Стоимость</t>
  </si>
  <si>
    <t xml:space="preserve">Цена </t>
  </si>
  <si>
    <t xml:space="preserve">Кол-во </t>
  </si>
  <si>
    <t>за единицу измерения</t>
  </si>
  <si>
    <t>кратно упаковкам</t>
  </si>
  <si>
    <t xml:space="preserve"> -</t>
  </si>
  <si>
    <t>Исходные данные (ввести числовое значение)</t>
  </si>
  <si>
    <t>Исходные данные (выбрать из выпадающего списка)</t>
  </si>
  <si>
    <t>мм</t>
  </si>
  <si>
    <t>Минеральная вата ISOVER Фасад Мастер</t>
  </si>
  <si>
    <t>Фасадная акриловая краска vetonit ton akrylat (25 кг)</t>
  </si>
  <si>
    <t>Фасадная силикатно-силиконовая краска vetonit ton silikat (25 кг)</t>
  </si>
  <si>
    <t>Фасадная силиконовая краска vetonit ton silikon fibra (25 кг)</t>
  </si>
  <si>
    <t>Базовый</t>
  </si>
  <si>
    <t>Оптимальный</t>
  </si>
  <si>
    <t>Сетка фасадная vetonit facade 2000 (50 м2)</t>
  </si>
  <si>
    <t>Сумма скидки</t>
  </si>
  <si>
    <t>Скидка, %</t>
  </si>
  <si>
    <t>Итого с учетом скидки</t>
  </si>
  <si>
    <t>Пароль</t>
  </si>
  <si>
    <t>Толщина теплоизоляции</t>
  </si>
  <si>
    <t>Минеральная вата ISOVER Фасад</t>
  </si>
  <si>
    <t>Минеральная вата ISOVER Фасад Лайт</t>
  </si>
  <si>
    <t>Минеральная вата ISOVER Штукатурный Фасад</t>
  </si>
  <si>
    <t>Клей+армировка</t>
  </si>
  <si>
    <t>Усиленная армировочно-клеевая смесь vetonit facade S100 force (25 кг)</t>
  </si>
  <si>
    <t>упаковка</t>
  </si>
  <si>
    <t>выбрать из списка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</si>
</sst>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&quot;р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04"/>
      <scheme val="maj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z val="11"/>
      <color theme="0" tint="-0.249977111117893"/>
      <name val="Calibri Light"/>
      <family val="2"/>
      <charset val="204"/>
      <scheme val="major"/>
    </font>
    <font>
      <sz val="11"/>
      <color theme="2" tint="-0.249977111117893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  <font>
      <sz val="11"/>
      <color theme="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4" fillId="0" borderId="5" xfId="0" applyFont="1" applyBorder="1"/>
    <xf numFmtId="0" fontId="1" fillId="2" borderId="0" xfId="0" applyFont="1" applyFill="1"/>
    <xf numFmtId="2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5" fontId="10" fillId="0" borderId="1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7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10" fillId="0" borderId="13" xfId="0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" fillId="9" borderId="0" xfId="0" applyFont="1" applyFill="1"/>
    <xf numFmtId="0" fontId="1" fillId="9" borderId="21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2" fontId="4" fillId="0" borderId="3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right"/>
      <protection locked="0"/>
    </xf>
    <xf numFmtId="165" fontId="10" fillId="0" borderId="26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165" fontId="5" fillId="5" borderId="28" xfId="0" applyNumberFormat="1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center" vertical="center"/>
    </xf>
    <xf numFmtId="165" fontId="5" fillId="5" borderId="19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5" fontId="5" fillId="5" borderId="21" xfId="0" applyNumberFormat="1" applyFont="1" applyFill="1" applyBorder="1" applyAlignment="1">
      <alignment horizontal="center" vertical="center"/>
    </xf>
    <xf numFmtId="165" fontId="5" fillId="5" borderId="29" xfId="0" applyNumberFormat="1" applyFont="1" applyFill="1" applyBorder="1" applyAlignment="1">
      <alignment horizontal="center" vertical="center"/>
    </xf>
    <xf numFmtId="165" fontId="5" fillId="5" borderId="23" xfId="0" applyNumberFormat="1" applyFont="1" applyFill="1" applyBorder="1" applyAlignment="1">
      <alignment horizontal="center" vertical="center"/>
    </xf>
    <xf numFmtId="165" fontId="5" fillId="5" borderId="24" xfId="0" applyNumberFormat="1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12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 applyProtection="1">
      <alignment horizontal="center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center"/>
      <protection locked="0"/>
    </xf>
    <xf numFmtId="0" fontId="8" fillId="6" borderId="11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2" fontId="5" fillId="5" borderId="13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10" fillId="5" borderId="13" xfId="0" applyNumberFormat="1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12" xfId="0" applyFont="1" applyFill="1" applyBorder="1" applyAlignment="1" applyProtection="1">
      <alignment horizontal="center"/>
      <protection locked="0"/>
    </xf>
    <xf numFmtId="165" fontId="10" fillId="5" borderId="3" xfId="0" applyNumberFormat="1" applyFont="1" applyFill="1" applyBorder="1" applyAlignment="1">
      <alignment horizontal="center" vertical="center"/>
    </xf>
    <xf numFmtId="165" fontId="10" fillId="5" borderId="12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0" fillId="5" borderId="13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/>
    <xf numFmtId="0" fontId="6" fillId="0" borderId="1" xfId="0" applyFont="1" applyBorder="1"/>
    <xf numFmtId="0" fontId="1" fillId="0" borderId="13" xfId="0" applyFont="1" applyBorder="1"/>
    <xf numFmtId="0" fontId="1" fillId="0" borderId="1" xfId="0" applyFont="1" applyBorder="1"/>
    <xf numFmtId="0" fontId="1" fillId="0" borderId="1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9" fillId="7" borderId="1" xfId="0" applyFont="1" applyFill="1" applyBorder="1"/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textRotation="90"/>
      <protection locked="0"/>
    </xf>
    <xf numFmtId="0" fontId="1" fillId="0" borderId="13" xfId="0" applyFont="1" applyBorder="1" applyAlignment="1">
      <alignment horizontal="left" wrapText="1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textRotation="90"/>
    </xf>
  </cellXfs>
  <cellStyles count="1">
    <cellStyle name="Обычный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4" displayName="Таблица14" ref="C17:C30" totalsRowShown="0" headerRowDxfId="11" dataDxfId="10">
  <autoFilter ref="C17:C30" xr:uid="{00000000-0009-0000-0100-000003000000}"/>
  <tableColumns count="1">
    <tableColumn id="1" xr3:uid="{00000000-0010-0000-0000-000001000000}" name="Декоративный слой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13" displayName="Таблица13" ref="C7:C9" totalsRowShown="0" headerRowDxfId="8" dataDxfId="7">
  <autoFilter ref="C7:C9" xr:uid="{00000000-0009-0000-0100-000002000000}"/>
  <tableColumns count="1">
    <tableColumn id="1" xr3:uid="{00000000-0010-0000-0100-000001000000}" name="утепление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Таблица132" displayName="Таблица132" ref="C2:C5" totalsRowShown="0" headerRowDxfId="5" dataDxfId="4">
  <autoFilter ref="C2:C5" xr:uid="{00000000-0009-0000-0100-000001000000}"/>
  <tableColumns count="1">
    <tableColumn id="1" xr3:uid="{00000000-0010-0000-0200-000001000000}" name="Система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D53EDD-C980-4954-9A85-ED74EE3E7E27}" name="Таблица1325" displayName="Таблица1325" ref="L17:L20" totalsRowShown="0" headerRowDxfId="2" dataDxfId="1">
  <autoFilter ref="L17:L20" xr:uid="{3DD53EDD-C980-4954-9A85-ED74EE3E7E27}"/>
  <tableColumns count="1">
    <tableColumn id="1" xr3:uid="{3584BB8D-DCF6-41D0-8A29-E9D93A204C97}" name="Клей+армировк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50"/>
  <sheetViews>
    <sheetView tabSelected="1" zoomScale="70" zoomScaleNormal="70" workbookViewId="0">
      <selection activeCell="AJ12" sqref="AJ12"/>
    </sheetView>
  </sheetViews>
  <sheetFormatPr defaultColWidth="8.7109375" defaultRowHeight="15" outlineLevelRow="1" outlineLevelCol="1" x14ac:dyDescent="0.25"/>
  <cols>
    <col min="1" max="2" width="8.7109375" style="1"/>
    <col min="3" max="3" width="64.7109375" style="1" customWidth="1"/>
    <col min="4" max="4" width="2.85546875" style="1" customWidth="1"/>
    <col min="5" max="5" width="9.140625" style="2" customWidth="1"/>
    <col min="6" max="6" width="8.85546875" style="2" bestFit="1" customWidth="1"/>
    <col min="7" max="7" width="9.5703125" style="2" bestFit="1" customWidth="1"/>
    <col min="8" max="8" width="3.140625" style="1" customWidth="1"/>
    <col min="9" max="9" width="8.42578125" style="1" bestFit="1" customWidth="1"/>
    <col min="10" max="10" width="10.7109375" style="2" customWidth="1"/>
    <col min="11" max="11" width="6.28515625" style="1" hidden="1" customWidth="1" outlineLevel="1"/>
    <col min="12" max="12" width="3.42578125" style="1" hidden="1" customWidth="1" outlineLevel="1"/>
    <col min="13" max="13" width="12.5703125" style="1" hidden="1" customWidth="1" outlineLevel="1"/>
    <col min="14" max="14" width="8.85546875" style="2" hidden="1" customWidth="1" outlineLevel="1"/>
    <col min="15" max="15" width="9.42578125" style="2" hidden="1" customWidth="1" outlineLevel="1"/>
    <col min="16" max="16" width="3.42578125" style="1" hidden="1" customWidth="1" outlineLevel="1"/>
    <col min="17" max="17" width="8.42578125" style="1" bestFit="1" customWidth="1" collapsed="1"/>
    <col min="18" max="18" width="8.85546875" style="1" bestFit="1" customWidth="1"/>
    <col min="19" max="19" width="5" style="1" bestFit="1" customWidth="1"/>
    <col min="20" max="20" width="3.28515625" style="1" customWidth="1"/>
    <col min="21" max="21" width="12.28515625" style="1" customWidth="1"/>
    <col min="22" max="22" width="8.85546875" style="1" hidden="1" customWidth="1"/>
    <col min="23" max="23" width="6.28515625" style="1" hidden="1" customWidth="1"/>
    <col min="24" max="16384" width="8.7109375" style="1"/>
  </cols>
  <sheetData>
    <row r="2" spans="3:30" x14ac:dyDescent="0.25">
      <c r="V2" s="1" t="s">
        <v>128</v>
      </c>
      <c r="W2" s="1">
        <v>4444</v>
      </c>
    </row>
    <row r="3" spans="3:30" x14ac:dyDescent="0.25">
      <c r="C3" s="68" t="s">
        <v>116</v>
      </c>
      <c r="D3" s="68"/>
      <c r="E3" s="68"/>
      <c r="F3" s="68"/>
      <c r="G3" s="47"/>
      <c r="H3" s="47"/>
      <c r="I3" s="48"/>
      <c r="J3" s="49"/>
      <c r="K3" s="48"/>
      <c r="L3" s="48"/>
      <c r="M3" s="48"/>
      <c r="N3" s="49"/>
      <c r="O3" s="49"/>
      <c r="P3" s="48"/>
      <c r="Q3" s="48"/>
      <c r="R3" s="48"/>
      <c r="S3" s="48"/>
      <c r="T3" s="48"/>
      <c r="U3" s="48"/>
    </row>
    <row r="4" spans="3:30" x14ac:dyDescent="0.25">
      <c r="C4" s="56" t="s">
        <v>72</v>
      </c>
      <c r="D4" s="67" t="s">
        <v>123</v>
      </c>
      <c r="E4" s="67"/>
      <c r="F4" s="67"/>
      <c r="G4" s="48"/>
      <c r="H4" s="48"/>
      <c r="I4" s="48"/>
      <c r="J4" s="49"/>
      <c r="K4" s="48"/>
      <c r="L4" s="48"/>
      <c r="M4" s="48"/>
      <c r="N4" s="49"/>
      <c r="O4" s="49"/>
      <c r="P4" s="48"/>
      <c r="Q4" s="48"/>
      <c r="R4" s="48"/>
      <c r="S4" s="48"/>
      <c r="T4" s="48"/>
      <c r="U4" s="48"/>
    </row>
    <row r="5" spans="3:30" x14ac:dyDescent="0.25">
      <c r="C5" s="56" t="s">
        <v>80</v>
      </c>
      <c r="D5" s="67" t="s">
        <v>78</v>
      </c>
      <c r="E5" s="67"/>
      <c r="F5" s="67"/>
      <c r="G5" s="48"/>
      <c r="H5" s="48"/>
      <c r="I5" s="48"/>
      <c r="J5" s="49"/>
      <c r="K5" s="48"/>
      <c r="L5" s="48"/>
      <c r="M5" s="48"/>
      <c r="N5" s="49"/>
      <c r="O5" s="49"/>
      <c r="P5" s="48"/>
      <c r="Q5" s="48"/>
      <c r="R5" s="48"/>
      <c r="S5" s="48"/>
      <c r="T5" s="48"/>
      <c r="U5" s="48"/>
      <c r="W5" s="48"/>
      <c r="X5" s="48"/>
      <c r="Y5" s="48"/>
      <c r="Z5" s="48"/>
      <c r="AA5" s="48"/>
      <c r="AB5" s="48"/>
      <c r="AC5" s="48"/>
      <c r="AD5" s="48"/>
    </row>
    <row r="6" spans="3:30" x14ac:dyDescent="0.25">
      <c r="C6" s="56" t="s">
        <v>81</v>
      </c>
      <c r="D6" s="67" t="s">
        <v>83</v>
      </c>
      <c r="E6" s="67"/>
      <c r="F6" s="67"/>
      <c r="G6" s="48"/>
      <c r="H6" s="48"/>
      <c r="I6" s="48"/>
      <c r="J6" s="49"/>
      <c r="K6" s="48"/>
      <c r="L6" s="48"/>
      <c r="M6" s="48"/>
      <c r="N6" s="49"/>
      <c r="O6" s="49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</row>
    <row r="7" spans="3:30" x14ac:dyDescent="0.25">
      <c r="C7" s="69"/>
      <c r="D7" s="69"/>
      <c r="E7" s="69"/>
      <c r="F7" s="69"/>
      <c r="G7" s="49"/>
      <c r="H7" s="48"/>
      <c r="I7" s="48"/>
      <c r="J7" s="49"/>
      <c r="K7" s="48"/>
      <c r="L7" s="48"/>
      <c r="M7" s="48"/>
      <c r="N7" s="49"/>
      <c r="O7" s="49"/>
      <c r="P7" s="48"/>
      <c r="Q7" s="48"/>
      <c r="R7" s="48"/>
      <c r="S7" s="48"/>
      <c r="T7" s="48"/>
      <c r="U7" s="48"/>
      <c r="W7" s="48"/>
      <c r="X7" s="48"/>
      <c r="Y7" s="48"/>
      <c r="Z7" s="48"/>
      <c r="AA7" s="48"/>
      <c r="AB7" s="48"/>
      <c r="AC7" s="48"/>
      <c r="AD7" s="48"/>
    </row>
    <row r="8" spans="3:30" x14ac:dyDescent="0.25">
      <c r="C8" s="70"/>
      <c r="D8" s="70"/>
      <c r="E8" s="70"/>
      <c r="F8" s="70"/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W8" s="48"/>
      <c r="X8" s="48"/>
      <c r="Y8" s="48"/>
      <c r="Z8" s="48"/>
      <c r="AA8" s="48"/>
      <c r="AB8" s="48"/>
      <c r="AC8" s="48"/>
      <c r="AD8" s="48"/>
    </row>
    <row r="9" spans="3:30" x14ac:dyDescent="0.25">
      <c r="C9" s="68" t="s">
        <v>115</v>
      </c>
      <c r="D9" s="68"/>
      <c r="E9" s="68"/>
      <c r="F9" s="68"/>
      <c r="G9" s="49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W9" s="48"/>
      <c r="X9" s="48"/>
      <c r="Y9" s="48"/>
      <c r="Z9" s="48"/>
      <c r="AA9" s="48"/>
      <c r="AB9" s="48"/>
      <c r="AC9" s="48"/>
      <c r="AD9" s="48"/>
    </row>
    <row r="10" spans="3:30" x14ac:dyDescent="0.25">
      <c r="C10" s="56" t="s">
        <v>67</v>
      </c>
      <c r="D10" s="72">
        <v>150</v>
      </c>
      <c r="E10" s="73"/>
      <c r="F10" s="51" t="s">
        <v>5</v>
      </c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W10" s="48"/>
      <c r="X10" s="48"/>
      <c r="Y10" s="48"/>
      <c r="Z10" s="48"/>
      <c r="AA10" s="48"/>
      <c r="AB10" s="48"/>
      <c r="AC10" s="48"/>
      <c r="AD10" s="48"/>
    </row>
    <row r="11" spans="3:30" x14ac:dyDescent="0.25">
      <c r="C11" s="56" t="s">
        <v>129</v>
      </c>
      <c r="D11" s="72">
        <v>150</v>
      </c>
      <c r="E11" s="73"/>
      <c r="F11" s="51" t="s">
        <v>117</v>
      </c>
      <c r="G11" s="49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W11" s="48"/>
      <c r="X11" s="48"/>
      <c r="Y11" s="48"/>
      <c r="Z11" s="48"/>
      <c r="AA11" s="48"/>
      <c r="AB11" s="48"/>
      <c r="AC11" s="48"/>
      <c r="AD11" s="48"/>
    </row>
    <row r="12" spans="3:30" ht="15.75" thickBot="1" x14ac:dyDescent="0.3">
      <c r="C12" s="71"/>
      <c r="D12" s="71"/>
      <c r="E12" s="71"/>
      <c r="F12" s="71"/>
      <c r="G12" s="49"/>
      <c r="H12" s="48"/>
      <c r="I12" s="48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8"/>
      <c r="W12" s="48"/>
      <c r="X12" s="48"/>
      <c r="Y12" s="48"/>
      <c r="Z12" s="48"/>
      <c r="AA12" s="48"/>
      <c r="AB12" s="48"/>
      <c r="AC12" s="48"/>
      <c r="AD12" s="48"/>
    </row>
    <row r="13" spans="3:30" ht="14.45" hidden="1" customHeight="1" outlineLevel="1" x14ac:dyDescent="0.25">
      <c r="C13" s="168" t="s">
        <v>7</v>
      </c>
      <c r="D13" s="166" t="s">
        <v>9</v>
      </c>
      <c r="E13" s="164" t="s">
        <v>15</v>
      </c>
      <c r="F13" s="165"/>
      <c r="G13" s="50">
        <f>E15*F15*G15</f>
        <v>0</v>
      </c>
      <c r="H13" s="166" t="s">
        <v>10</v>
      </c>
      <c r="I13" s="164" t="s">
        <v>15</v>
      </c>
      <c r="J13" s="165"/>
      <c r="K13" s="50">
        <f>I15*J15*K15</f>
        <v>0</v>
      </c>
      <c r="L13" s="166" t="s">
        <v>11</v>
      </c>
      <c r="M13" s="164" t="s">
        <v>15</v>
      </c>
      <c r="N13" s="165"/>
      <c r="O13" s="50">
        <f>M15*N15*O15</f>
        <v>0</v>
      </c>
      <c r="P13" s="166" t="s">
        <v>12</v>
      </c>
      <c r="Q13" s="164" t="s">
        <v>15</v>
      </c>
      <c r="R13" s="165"/>
      <c r="S13" s="50">
        <f>Q15*R15*S15</f>
        <v>0</v>
      </c>
      <c r="T13" s="166" t="s">
        <v>13</v>
      </c>
      <c r="U13" s="164" t="s">
        <v>15</v>
      </c>
      <c r="V13" s="165"/>
      <c r="W13" s="50">
        <f>U15*V15*W15</f>
        <v>0</v>
      </c>
      <c r="X13" s="48"/>
      <c r="Y13" s="48"/>
      <c r="Z13" s="48"/>
      <c r="AA13" s="48"/>
      <c r="AB13" s="48"/>
      <c r="AC13" s="48"/>
      <c r="AD13" s="48"/>
    </row>
    <row r="14" spans="3:30" ht="15.75" hidden="1" outlineLevel="1" thickBot="1" x14ac:dyDescent="0.3">
      <c r="C14" s="168"/>
      <c r="D14" s="166"/>
      <c r="E14" s="51" t="s">
        <v>68</v>
      </c>
      <c r="F14" s="51" t="s">
        <v>69</v>
      </c>
      <c r="G14" s="51" t="s">
        <v>8</v>
      </c>
      <c r="H14" s="166"/>
      <c r="I14" s="51" t="s">
        <v>68</v>
      </c>
      <c r="J14" s="51" t="s">
        <v>69</v>
      </c>
      <c r="K14" s="51" t="s">
        <v>8</v>
      </c>
      <c r="L14" s="166"/>
      <c r="M14" s="51" t="s">
        <v>68</v>
      </c>
      <c r="N14" s="51" t="s">
        <v>69</v>
      </c>
      <c r="O14" s="51" t="s">
        <v>8</v>
      </c>
      <c r="P14" s="166"/>
      <c r="Q14" s="51" t="s">
        <v>68</v>
      </c>
      <c r="R14" s="51" t="s">
        <v>69</v>
      </c>
      <c r="S14" s="51" t="s">
        <v>8</v>
      </c>
      <c r="T14" s="166"/>
      <c r="U14" s="51" t="s">
        <v>68</v>
      </c>
      <c r="V14" s="51" t="s">
        <v>69</v>
      </c>
      <c r="W14" s="51" t="s">
        <v>8</v>
      </c>
      <c r="X14" s="48"/>
      <c r="Y14" s="48"/>
      <c r="Z14" s="48"/>
      <c r="AA14" s="48"/>
      <c r="AB14" s="48"/>
      <c r="AC14" s="48"/>
      <c r="AD14" s="48"/>
    </row>
    <row r="15" spans="3:30" ht="15.75" hidden="1" outlineLevel="1" thickBot="1" x14ac:dyDescent="0.3">
      <c r="C15" s="168"/>
      <c r="D15" s="166"/>
      <c r="E15" s="52">
        <v>0</v>
      </c>
      <c r="F15" s="52">
        <v>0</v>
      </c>
      <c r="G15" s="53">
        <v>0</v>
      </c>
      <c r="H15" s="166"/>
      <c r="I15" s="52">
        <v>0</v>
      </c>
      <c r="J15" s="52">
        <v>0</v>
      </c>
      <c r="K15" s="53">
        <v>0</v>
      </c>
      <c r="L15" s="166"/>
      <c r="M15" s="52">
        <v>0</v>
      </c>
      <c r="N15" s="52">
        <v>0</v>
      </c>
      <c r="O15" s="53">
        <v>0</v>
      </c>
      <c r="P15" s="166"/>
      <c r="Q15" s="52">
        <v>0</v>
      </c>
      <c r="R15" s="52">
        <v>0</v>
      </c>
      <c r="S15" s="53">
        <v>0</v>
      </c>
      <c r="T15" s="166"/>
      <c r="U15" s="52">
        <v>0</v>
      </c>
      <c r="V15" s="52">
        <v>0</v>
      </c>
      <c r="W15" s="53">
        <v>0</v>
      </c>
      <c r="X15" s="48"/>
      <c r="Y15" s="48"/>
      <c r="Z15" s="48"/>
      <c r="AA15" s="48"/>
      <c r="AB15" s="48"/>
      <c r="AC15" s="48"/>
      <c r="AD15" s="48"/>
    </row>
    <row r="16" spans="3:30" ht="14.45" hidden="1" customHeight="1" outlineLevel="1" x14ac:dyDescent="0.25">
      <c r="C16" s="168" t="s">
        <v>14</v>
      </c>
      <c r="D16" s="166" t="s">
        <v>9</v>
      </c>
      <c r="E16" s="164" t="s">
        <v>15</v>
      </c>
      <c r="F16" s="165"/>
      <c r="G16" s="50">
        <f>E18*F18*G18</f>
        <v>0</v>
      </c>
      <c r="H16" s="166" t="s">
        <v>10</v>
      </c>
      <c r="I16" s="164" t="s">
        <v>15</v>
      </c>
      <c r="J16" s="165"/>
      <c r="K16" s="50">
        <f>I18*J18*K18</f>
        <v>0</v>
      </c>
      <c r="L16" s="166" t="s">
        <v>11</v>
      </c>
      <c r="M16" s="164" t="s">
        <v>15</v>
      </c>
      <c r="N16" s="165"/>
      <c r="O16" s="50">
        <f>M18*N18*O18</f>
        <v>0</v>
      </c>
      <c r="P16" s="166" t="s">
        <v>12</v>
      </c>
      <c r="Q16" s="164" t="s">
        <v>15</v>
      </c>
      <c r="R16" s="165"/>
      <c r="S16" s="50">
        <f>Q18*R18*S18</f>
        <v>0</v>
      </c>
      <c r="T16" s="166" t="s">
        <v>13</v>
      </c>
      <c r="U16" s="164" t="s">
        <v>15</v>
      </c>
      <c r="V16" s="165"/>
      <c r="W16" s="50">
        <f>U18*V18*W18</f>
        <v>0</v>
      </c>
      <c r="X16" s="48"/>
      <c r="Y16" s="48"/>
      <c r="Z16" s="48"/>
      <c r="AA16" s="48"/>
      <c r="AB16" s="48"/>
      <c r="AC16" s="48"/>
      <c r="AD16" s="48"/>
    </row>
    <row r="17" spans="2:30" ht="15.75" hidden="1" outlineLevel="1" thickBot="1" x14ac:dyDescent="0.3">
      <c r="C17" s="168"/>
      <c r="D17" s="166"/>
      <c r="E17" s="51" t="s">
        <v>68</v>
      </c>
      <c r="F17" s="51" t="s">
        <v>69</v>
      </c>
      <c r="G17" s="51" t="s">
        <v>8</v>
      </c>
      <c r="H17" s="166"/>
      <c r="I17" s="51" t="s">
        <v>68</v>
      </c>
      <c r="J17" s="51" t="s">
        <v>69</v>
      </c>
      <c r="K17" s="51" t="s">
        <v>8</v>
      </c>
      <c r="L17" s="166"/>
      <c r="M17" s="51" t="s">
        <v>68</v>
      </c>
      <c r="N17" s="51" t="s">
        <v>69</v>
      </c>
      <c r="O17" s="51" t="s">
        <v>8</v>
      </c>
      <c r="P17" s="166"/>
      <c r="Q17" s="51" t="s">
        <v>68</v>
      </c>
      <c r="R17" s="51" t="s">
        <v>69</v>
      </c>
      <c r="S17" s="51" t="s">
        <v>8</v>
      </c>
      <c r="T17" s="166"/>
      <c r="U17" s="51" t="s">
        <v>68</v>
      </c>
      <c r="V17" s="51" t="s">
        <v>69</v>
      </c>
      <c r="W17" s="51" t="s">
        <v>8</v>
      </c>
      <c r="X17" s="48"/>
      <c r="Y17" s="48"/>
      <c r="Z17" s="48"/>
      <c r="AA17" s="48"/>
      <c r="AB17" s="48"/>
      <c r="AC17" s="48"/>
      <c r="AD17" s="48"/>
    </row>
    <row r="18" spans="2:30" ht="14.45" hidden="1" customHeight="1" outlineLevel="1" x14ac:dyDescent="0.25">
      <c r="C18" s="168"/>
      <c r="D18" s="166"/>
      <c r="E18" s="52">
        <v>0</v>
      </c>
      <c r="F18" s="52">
        <v>0</v>
      </c>
      <c r="G18" s="53">
        <v>0</v>
      </c>
      <c r="H18" s="166"/>
      <c r="I18" s="52">
        <v>0</v>
      </c>
      <c r="J18" s="52">
        <v>0</v>
      </c>
      <c r="K18" s="53"/>
      <c r="L18" s="166"/>
      <c r="M18" s="52"/>
      <c r="N18" s="52"/>
      <c r="O18" s="53"/>
      <c r="P18" s="166"/>
      <c r="Q18" s="52">
        <v>0</v>
      </c>
      <c r="R18" s="52">
        <v>0</v>
      </c>
      <c r="S18" s="53">
        <v>0</v>
      </c>
      <c r="T18" s="166"/>
      <c r="U18" s="52">
        <v>0</v>
      </c>
      <c r="V18" s="52">
        <v>0</v>
      </c>
      <c r="W18" s="53">
        <v>0</v>
      </c>
      <c r="X18" s="48"/>
      <c r="Y18" s="48"/>
      <c r="Z18" s="48"/>
      <c r="AA18" s="48"/>
      <c r="AB18" s="48"/>
      <c r="AC18" s="48"/>
      <c r="AD18" s="48"/>
    </row>
    <row r="19" spans="2:30" ht="15.75" hidden="1" outlineLevel="1" thickBot="1" x14ac:dyDescent="0.3">
      <c r="C19" s="163" t="s">
        <v>0</v>
      </c>
      <c r="D19" s="163"/>
      <c r="E19" s="19">
        <f>2*(F15*G15+J15*K15+N15*O15+R15*S15+V15*W15)+2*(F18*G18+J18*K18+N18*O18+R18*S18+V18*W18)</f>
        <v>0</v>
      </c>
      <c r="F19" s="20" t="s">
        <v>6</v>
      </c>
      <c r="W19" s="48"/>
      <c r="X19" s="48"/>
      <c r="Y19" s="48"/>
      <c r="Z19" s="48"/>
      <c r="AA19" s="48"/>
      <c r="AB19" s="48"/>
      <c r="AC19" s="48"/>
      <c r="AD19" s="48"/>
    </row>
    <row r="20" spans="2:30" ht="15.75" hidden="1" outlineLevel="1" thickBot="1" x14ac:dyDescent="0.3">
      <c r="C20" s="163" t="s">
        <v>1</v>
      </c>
      <c r="D20" s="163"/>
      <c r="E20" s="19">
        <f>(E15*G15+I15*K15+M15*O15+Q15*S15+U15*W15)+(E18*G18+I18*K18+M18*O18+Q18*S18+U18*W18)</f>
        <v>0</v>
      </c>
      <c r="F20" s="20" t="s">
        <v>6</v>
      </c>
      <c r="W20" s="48"/>
      <c r="X20" s="48"/>
      <c r="Y20" s="48"/>
      <c r="Z20" s="48"/>
      <c r="AA20" s="48"/>
      <c r="AB20" s="48"/>
      <c r="AC20" s="48"/>
      <c r="AD20" s="48"/>
    </row>
    <row r="21" spans="2:30" ht="15.75" hidden="1" outlineLevel="1" thickBot="1" x14ac:dyDescent="0.3">
      <c r="C21" s="163" t="s">
        <v>2</v>
      </c>
      <c r="D21" s="163"/>
      <c r="E21" s="19">
        <f>(E15*G15+I15*K15+M15*O15+Q15*S15+U15*W15)</f>
        <v>0</v>
      </c>
      <c r="F21" s="20" t="s">
        <v>6</v>
      </c>
      <c r="W21" s="48"/>
      <c r="X21" s="48"/>
      <c r="Y21" s="48"/>
      <c r="Z21" s="48"/>
      <c r="AA21" s="48"/>
      <c r="AB21" s="48"/>
      <c r="AC21" s="48"/>
      <c r="AD21" s="48"/>
    </row>
    <row r="22" spans="2:30" ht="15.75" hidden="1" outlineLevel="1" thickBot="1" x14ac:dyDescent="0.3">
      <c r="C22" s="163" t="s">
        <v>3</v>
      </c>
      <c r="D22" s="163"/>
      <c r="E22" s="21">
        <f>(D11+J30+J34)/1000</f>
        <v>0.16400000000000001</v>
      </c>
      <c r="F22" s="20" t="s">
        <v>6</v>
      </c>
      <c r="W22" s="48"/>
      <c r="X22" s="48"/>
      <c r="Y22" s="48"/>
      <c r="Z22" s="48"/>
      <c r="AA22" s="48"/>
      <c r="AB22" s="48"/>
      <c r="AC22" s="48"/>
      <c r="AD22" s="48"/>
    </row>
    <row r="23" spans="2:30" ht="15.75" hidden="1" outlineLevel="1" thickBot="1" x14ac:dyDescent="0.3">
      <c r="C23" s="163" t="s">
        <v>4</v>
      </c>
      <c r="D23" s="163"/>
      <c r="E23" s="19">
        <f>(E19+E20)*E22</f>
        <v>0</v>
      </c>
      <c r="F23" s="20" t="s">
        <v>5</v>
      </c>
      <c r="W23" s="48"/>
      <c r="X23" s="48"/>
      <c r="Y23" s="48"/>
      <c r="Z23" s="48"/>
      <c r="AA23" s="48"/>
      <c r="AB23" s="48"/>
      <c r="AC23" s="48"/>
      <c r="AD23" s="48"/>
    </row>
    <row r="24" spans="2:30" ht="15.75" hidden="1" outlineLevel="1" thickBot="1" x14ac:dyDescent="0.3">
      <c r="C24" s="10"/>
      <c r="D24" s="10"/>
      <c r="E24" s="3"/>
      <c r="K24" s="12"/>
      <c r="W24" s="48"/>
      <c r="X24" s="48"/>
      <c r="Y24" s="48"/>
      <c r="Z24" s="48"/>
      <c r="AA24" s="48"/>
      <c r="AB24" s="48"/>
      <c r="AC24" s="48"/>
      <c r="AD24" s="48"/>
    </row>
    <row r="25" spans="2:30" ht="27.95" customHeight="1" collapsed="1" x14ac:dyDescent="0.25">
      <c r="C25" s="162" t="s">
        <v>16</v>
      </c>
      <c r="D25" s="135"/>
      <c r="E25" s="136" t="s">
        <v>21</v>
      </c>
      <c r="F25" s="135" t="s">
        <v>17</v>
      </c>
      <c r="G25" s="135" t="s">
        <v>18</v>
      </c>
      <c r="H25" s="135" t="s">
        <v>19</v>
      </c>
      <c r="I25" s="135"/>
      <c r="J25" s="115" t="s">
        <v>20</v>
      </c>
      <c r="K25" s="162" t="s">
        <v>22</v>
      </c>
      <c r="L25" s="135"/>
      <c r="M25" s="28" t="s">
        <v>17</v>
      </c>
      <c r="N25" s="28" t="s">
        <v>110</v>
      </c>
      <c r="O25" s="136" t="s">
        <v>109</v>
      </c>
      <c r="P25" s="115"/>
      <c r="Q25" s="43" t="s">
        <v>111</v>
      </c>
      <c r="R25" s="44" t="s">
        <v>17</v>
      </c>
      <c r="S25" s="126" t="s">
        <v>110</v>
      </c>
      <c r="T25" s="126"/>
      <c r="U25" s="45" t="s">
        <v>109</v>
      </c>
      <c r="W25" s="48"/>
      <c r="X25" s="48"/>
      <c r="Y25" s="48"/>
      <c r="Z25" s="48"/>
      <c r="AA25" s="48"/>
      <c r="AB25" s="48"/>
      <c r="AC25" s="48"/>
      <c r="AD25" s="48"/>
    </row>
    <row r="26" spans="2:30" x14ac:dyDescent="0.25">
      <c r="C26" s="77"/>
      <c r="D26" s="78"/>
      <c r="E26" s="137"/>
      <c r="F26" s="78"/>
      <c r="G26" s="78"/>
      <c r="H26" s="78"/>
      <c r="I26" s="78"/>
      <c r="J26" s="116"/>
      <c r="K26" s="77" t="s">
        <v>112</v>
      </c>
      <c r="L26" s="78"/>
      <c r="M26" s="78"/>
      <c r="N26" s="78"/>
      <c r="O26" s="78"/>
      <c r="P26" s="79"/>
      <c r="Q26" s="80" t="s">
        <v>113</v>
      </c>
      <c r="R26" s="81"/>
      <c r="S26" s="81"/>
      <c r="T26" s="81"/>
      <c r="U26" s="82"/>
      <c r="W26" s="48"/>
      <c r="X26" s="48"/>
      <c r="Y26" s="48"/>
      <c r="Z26" s="48"/>
      <c r="AA26" s="48"/>
      <c r="AB26" s="48"/>
      <c r="AC26" s="48"/>
      <c r="AD26" s="48"/>
    </row>
    <row r="27" spans="2:30" x14ac:dyDescent="0.25">
      <c r="C27" s="120" t="s">
        <v>23</v>
      </c>
      <c r="D27" s="121"/>
      <c r="E27" s="121"/>
      <c r="F27" s="121"/>
      <c r="G27" s="121"/>
      <c r="H27" s="121"/>
      <c r="I27" s="121"/>
      <c r="J27" s="122"/>
      <c r="K27" s="120"/>
      <c r="L27" s="121"/>
      <c r="M27" s="121"/>
      <c r="N27" s="121"/>
      <c r="O27" s="121"/>
      <c r="P27" s="122"/>
      <c r="Q27" s="138"/>
      <c r="R27" s="139"/>
      <c r="S27" s="139"/>
      <c r="T27" s="139"/>
      <c r="U27" s="140"/>
      <c r="W27" s="48"/>
      <c r="X27" s="48"/>
      <c r="Y27" s="48"/>
      <c r="Z27" s="48"/>
      <c r="AA27" s="48"/>
      <c r="AB27" s="48"/>
      <c r="AC27" s="48"/>
      <c r="AD27" s="48"/>
    </row>
    <row r="28" spans="2:30" x14ac:dyDescent="0.25">
      <c r="C28" s="167" t="s">
        <v>71</v>
      </c>
      <c r="D28" s="159"/>
      <c r="E28" s="14">
        <f>D10+E23</f>
        <v>150</v>
      </c>
      <c r="F28" s="37" t="s">
        <v>5</v>
      </c>
      <c r="G28" s="37">
        <f>VLOOKUP(C28,Лист1!C11:D12,2,0)</f>
        <v>0.15</v>
      </c>
      <c r="H28" s="83" t="s">
        <v>39</v>
      </c>
      <c r="I28" s="83"/>
      <c r="J28" s="31" t="s">
        <v>33</v>
      </c>
      <c r="K28" s="129">
        <f>E28*G28</f>
        <v>22.5</v>
      </c>
      <c r="L28" s="130"/>
      <c r="M28" s="22" t="s">
        <v>38</v>
      </c>
      <c r="N28" s="23">
        <v>0</v>
      </c>
      <c r="O28" s="141">
        <f>N28*K28</f>
        <v>0</v>
      </c>
      <c r="P28" s="142"/>
      <c r="Q28" s="59">
        <f>ROUNDUP(K28/10,0)</f>
        <v>3</v>
      </c>
      <c r="R28" s="8" t="s">
        <v>40</v>
      </c>
      <c r="S28" s="148">
        <v>100</v>
      </c>
      <c r="T28" s="148"/>
      <c r="U28" s="46">
        <f>S28*Q28</f>
        <v>300</v>
      </c>
      <c r="W28" s="48"/>
      <c r="X28" s="48"/>
      <c r="Y28" s="48"/>
      <c r="Z28" s="48"/>
      <c r="AA28" s="48"/>
      <c r="AB28" s="48"/>
      <c r="AC28" s="48"/>
      <c r="AD28" s="48"/>
    </row>
    <row r="29" spans="2:30" x14ac:dyDescent="0.25">
      <c r="C29" s="120" t="s">
        <v>24</v>
      </c>
      <c r="D29" s="121"/>
      <c r="E29" s="121"/>
      <c r="F29" s="121"/>
      <c r="G29" s="121"/>
      <c r="H29" s="121"/>
      <c r="I29" s="121"/>
      <c r="J29" s="122"/>
      <c r="K29" s="123"/>
      <c r="L29" s="124"/>
      <c r="M29" s="124"/>
      <c r="N29" s="124"/>
      <c r="O29" s="124"/>
      <c r="P29" s="125"/>
      <c r="Q29" s="117"/>
      <c r="R29" s="118"/>
      <c r="S29" s="118"/>
      <c r="T29" s="118"/>
      <c r="U29" s="119"/>
      <c r="W29" s="48"/>
      <c r="X29" s="48"/>
      <c r="Y29" s="48"/>
      <c r="Z29" s="48"/>
      <c r="AA29" s="48"/>
      <c r="AB29" s="48"/>
      <c r="AC29" s="48"/>
      <c r="AD29" s="48"/>
    </row>
    <row r="30" spans="2:30" x14ac:dyDescent="0.25">
      <c r="B30" s="65" t="s">
        <v>136</v>
      </c>
      <c r="C30" s="151" t="s">
        <v>134</v>
      </c>
      <c r="D30" s="152"/>
      <c r="E30" s="14">
        <f>D10</f>
        <v>150</v>
      </c>
      <c r="F30" s="37" t="s">
        <v>5</v>
      </c>
      <c r="G30" s="11">
        <f>VLOOKUP(C31,Лист1!D38:F42,2,0)</f>
        <v>7.4000000000000012</v>
      </c>
      <c r="H30" s="83" t="s">
        <v>29</v>
      </c>
      <c r="I30" s="83"/>
      <c r="J30" s="31">
        <v>10</v>
      </c>
      <c r="K30" s="129">
        <f>E30*G30</f>
        <v>1110.0000000000002</v>
      </c>
      <c r="L30" s="130"/>
      <c r="M30" s="22" t="s">
        <v>31</v>
      </c>
      <c r="N30" s="23">
        <v>0</v>
      </c>
      <c r="O30" s="141">
        <f>N30*K30</f>
        <v>0</v>
      </c>
      <c r="P30" s="142"/>
      <c r="Q30" s="59">
        <f>ROUNDUP(K30/VLOOKUP(C30,Лист1!M18:N19,2,0),0)</f>
        <v>45</v>
      </c>
      <c r="R30" s="8" t="s">
        <v>32</v>
      </c>
      <c r="S30" s="148">
        <v>0</v>
      </c>
      <c r="T30" s="148"/>
      <c r="U30" s="46">
        <f>S30*Q30</f>
        <v>0</v>
      </c>
      <c r="W30" s="48"/>
      <c r="X30" s="48"/>
      <c r="Y30" s="48"/>
      <c r="Z30" s="48"/>
      <c r="AA30" s="48"/>
      <c r="AB30" s="48"/>
      <c r="AC30" s="48"/>
      <c r="AD30" s="48"/>
    </row>
    <row r="31" spans="2:30" x14ac:dyDescent="0.25">
      <c r="B31" s="65"/>
      <c r="C31" s="151" t="s">
        <v>132</v>
      </c>
      <c r="D31" s="152"/>
      <c r="E31" s="14">
        <f>D10</f>
        <v>150</v>
      </c>
      <c r="F31" s="37" t="s">
        <v>5</v>
      </c>
      <c r="G31" s="14">
        <v>1.03</v>
      </c>
      <c r="H31" s="83" t="s">
        <v>28</v>
      </c>
      <c r="I31" s="83"/>
      <c r="J31" s="42">
        <f>D11</f>
        <v>150</v>
      </c>
      <c r="K31" s="129">
        <f>G31*E31</f>
        <v>154.5</v>
      </c>
      <c r="L31" s="130"/>
      <c r="M31" s="22" t="s">
        <v>5</v>
      </c>
      <c r="N31" s="23">
        <v>0</v>
      </c>
      <c r="O31" s="141">
        <f>N31*K31</f>
        <v>0</v>
      </c>
      <c r="P31" s="142"/>
      <c r="Q31" s="60">
        <f>K31*D11/1000</f>
        <v>23.175000000000001</v>
      </c>
      <c r="R31" s="8" t="s">
        <v>57</v>
      </c>
      <c r="S31" s="148">
        <v>0</v>
      </c>
      <c r="T31" s="148"/>
      <c r="U31" s="46">
        <f>S31*Q31</f>
        <v>0</v>
      </c>
      <c r="W31" s="48"/>
      <c r="X31" s="48"/>
      <c r="Y31" s="48"/>
      <c r="Z31" s="48"/>
      <c r="AA31" s="48"/>
      <c r="AB31" s="48"/>
      <c r="AC31" s="48"/>
      <c r="AD31" s="48"/>
    </row>
    <row r="32" spans="2:30" s="4" customFormat="1" x14ac:dyDescent="0.25">
      <c r="C32" s="149" t="str">
        <f>"Вкручиваемый фасадный тарельчатый дюбель 8/60-"&amp;TEXT(D11*1000+50+J30,"0")&amp;"мм"</f>
        <v>Вкручиваемый фасадный тарельчатый дюбель 8/60-150060мм</v>
      </c>
      <c r="D32" s="150"/>
      <c r="E32" s="7">
        <f>D10</f>
        <v>150</v>
      </c>
      <c r="F32" s="40" t="s">
        <v>5</v>
      </c>
      <c r="G32" s="7">
        <v>6</v>
      </c>
      <c r="H32" s="131" t="s">
        <v>27</v>
      </c>
      <c r="I32" s="131"/>
      <c r="J32" s="32" t="s">
        <v>25</v>
      </c>
      <c r="K32" s="127">
        <f>G32*E32</f>
        <v>900</v>
      </c>
      <c r="L32" s="128"/>
      <c r="M32" s="22" t="s">
        <v>8</v>
      </c>
      <c r="N32" s="112" t="s">
        <v>114</v>
      </c>
      <c r="O32" s="113"/>
      <c r="P32" s="114"/>
      <c r="Q32" s="88" t="s">
        <v>25</v>
      </c>
      <c r="R32" s="89"/>
      <c r="S32" s="89"/>
      <c r="T32" s="89"/>
      <c r="U32" s="90"/>
      <c r="W32" s="54"/>
      <c r="X32" s="54"/>
      <c r="Y32" s="54"/>
      <c r="Z32" s="54"/>
      <c r="AA32" s="54"/>
      <c r="AB32" s="54"/>
      <c r="AC32" s="54"/>
      <c r="AD32" s="54"/>
    </row>
    <row r="33" spans="2:30" x14ac:dyDescent="0.25">
      <c r="C33" s="120" t="s">
        <v>30</v>
      </c>
      <c r="D33" s="121"/>
      <c r="E33" s="121"/>
      <c r="F33" s="121"/>
      <c r="G33" s="121"/>
      <c r="H33" s="121"/>
      <c r="I33" s="121"/>
      <c r="J33" s="122"/>
      <c r="K33" s="123"/>
      <c r="L33" s="124"/>
      <c r="M33" s="124"/>
      <c r="N33" s="124"/>
      <c r="O33" s="124"/>
      <c r="P33" s="125"/>
      <c r="Q33" s="117"/>
      <c r="R33" s="118"/>
      <c r="S33" s="118"/>
      <c r="T33" s="118"/>
      <c r="U33" s="119"/>
      <c r="W33" s="48"/>
      <c r="X33" s="48"/>
      <c r="Y33" s="48"/>
      <c r="Z33" s="48"/>
      <c r="AA33" s="48"/>
      <c r="AB33" s="48"/>
      <c r="AC33" s="48"/>
      <c r="AD33" s="48"/>
    </row>
    <row r="34" spans="2:30" x14ac:dyDescent="0.25">
      <c r="B34" s="64" t="s">
        <v>136</v>
      </c>
      <c r="C34" s="151" t="str">
        <f>C30</f>
        <v>Усиленная армировочно-клеевая смесь vetonit facade S100 force (25 кг)</v>
      </c>
      <c r="D34" s="152"/>
      <c r="E34" s="14">
        <f>D10+E23</f>
        <v>150</v>
      </c>
      <c r="F34" s="37" t="s">
        <v>5</v>
      </c>
      <c r="G34" s="11">
        <f>VLOOKUP(C31,Лист1!D38:F42,3,0)</f>
        <v>7.4</v>
      </c>
      <c r="H34" s="83" t="s">
        <v>29</v>
      </c>
      <c r="I34" s="83"/>
      <c r="J34" s="33">
        <v>4</v>
      </c>
      <c r="K34" s="129">
        <f>G34*E34</f>
        <v>1110</v>
      </c>
      <c r="L34" s="130"/>
      <c r="M34" s="22" t="s">
        <v>31</v>
      </c>
      <c r="N34" s="23">
        <v>0</v>
      </c>
      <c r="O34" s="141">
        <f>N34*K34</f>
        <v>0</v>
      </c>
      <c r="P34" s="142"/>
      <c r="Q34" s="59">
        <f>ROUNDUP(K30/VLOOKUP(C34,Лист1!M18:N19,2,0),0)</f>
        <v>45</v>
      </c>
      <c r="R34" s="8" t="s">
        <v>32</v>
      </c>
      <c r="S34" s="148">
        <v>0</v>
      </c>
      <c r="T34" s="148"/>
      <c r="U34" s="46">
        <f>S34*Q34</f>
        <v>0</v>
      </c>
      <c r="W34" s="48"/>
      <c r="X34" s="48"/>
      <c r="Y34" s="48"/>
      <c r="Z34" s="48"/>
      <c r="AA34" s="48"/>
      <c r="AB34" s="48"/>
      <c r="AC34" s="48"/>
      <c r="AD34" s="48"/>
    </row>
    <row r="35" spans="2:30" x14ac:dyDescent="0.25">
      <c r="C35" s="158" t="s">
        <v>124</v>
      </c>
      <c r="D35" s="159"/>
      <c r="E35" s="14">
        <f>D10+E23</f>
        <v>150</v>
      </c>
      <c r="F35" s="37" t="s">
        <v>5</v>
      </c>
      <c r="G35" s="8">
        <v>1.1499999999999999</v>
      </c>
      <c r="H35" s="83" t="s">
        <v>28</v>
      </c>
      <c r="I35" s="83"/>
      <c r="J35" s="31" t="s">
        <v>25</v>
      </c>
      <c r="K35" s="129">
        <f>E35*G35</f>
        <v>172.5</v>
      </c>
      <c r="L35" s="130"/>
      <c r="M35" s="22" t="s">
        <v>5</v>
      </c>
      <c r="N35" s="23">
        <v>0</v>
      </c>
      <c r="O35" s="141">
        <f>N35*K35</f>
        <v>0</v>
      </c>
      <c r="P35" s="142"/>
      <c r="Q35" s="59">
        <f>ROUNDUP(K35/50,0)</f>
        <v>4</v>
      </c>
      <c r="R35" s="8" t="s">
        <v>65</v>
      </c>
      <c r="S35" s="148">
        <v>0</v>
      </c>
      <c r="T35" s="148"/>
      <c r="U35" s="46">
        <f>S35*Q35</f>
        <v>0</v>
      </c>
      <c r="W35" s="48"/>
      <c r="X35" s="48"/>
      <c r="Y35" s="48"/>
      <c r="Z35" s="48"/>
      <c r="AA35" s="48"/>
      <c r="AB35" s="48"/>
      <c r="AC35" s="48"/>
      <c r="AD35" s="48"/>
    </row>
    <row r="36" spans="2:30" s="9" customFormat="1" x14ac:dyDescent="0.25">
      <c r="C36" s="132" t="s">
        <v>35</v>
      </c>
      <c r="D36" s="133"/>
      <c r="E36" s="13">
        <f>E19+E21</f>
        <v>0</v>
      </c>
      <c r="F36" s="39" t="s">
        <v>6</v>
      </c>
      <c r="G36" s="8">
        <v>1.05</v>
      </c>
      <c r="H36" s="134" t="s">
        <v>26</v>
      </c>
      <c r="I36" s="134"/>
      <c r="J36" s="34" t="s">
        <v>25</v>
      </c>
      <c r="K36" s="127">
        <f>E36*G36</f>
        <v>0</v>
      </c>
      <c r="L36" s="128"/>
      <c r="M36" s="22" t="s">
        <v>6</v>
      </c>
      <c r="N36" s="103" t="s">
        <v>25</v>
      </c>
      <c r="O36" s="104"/>
      <c r="P36" s="105"/>
      <c r="Q36" s="91" t="s">
        <v>25</v>
      </c>
      <c r="R36" s="92"/>
      <c r="S36" s="92"/>
      <c r="T36" s="92"/>
      <c r="U36" s="93"/>
      <c r="W36" s="55"/>
      <c r="X36" s="55"/>
      <c r="Y36" s="55"/>
      <c r="Z36" s="55"/>
      <c r="AA36" s="55"/>
      <c r="AB36" s="55"/>
      <c r="AC36" s="55"/>
      <c r="AD36" s="55"/>
    </row>
    <row r="37" spans="2:30" s="9" customFormat="1" x14ac:dyDescent="0.25">
      <c r="C37" s="132" t="s">
        <v>36</v>
      </c>
      <c r="D37" s="133"/>
      <c r="E37" s="13">
        <f>E20</f>
        <v>0</v>
      </c>
      <c r="F37" s="39" t="s">
        <v>6</v>
      </c>
      <c r="G37" s="8">
        <v>1.1000000000000001</v>
      </c>
      <c r="H37" s="134" t="s">
        <v>26</v>
      </c>
      <c r="I37" s="134"/>
      <c r="J37" s="34" t="s">
        <v>25</v>
      </c>
      <c r="K37" s="127">
        <f>E37*G37</f>
        <v>0</v>
      </c>
      <c r="L37" s="128"/>
      <c r="M37" s="22" t="s">
        <v>6</v>
      </c>
      <c r="N37" s="106"/>
      <c r="O37" s="107"/>
      <c r="P37" s="108"/>
      <c r="Q37" s="94"/>
      <c r="R37" s="95"/>
      <c r="S37" s="95"/>
      <c r="T37" s="95"/>
      <c r="U37" s="96"/>
      <c r="W37" s="55"/>
      <c r="X37" s="55"/>
      <c r="Y37" s="55"/>
      <c r="Z37" s="55"/>
      <c r="AA37" s="55"/>
      <c r="AB37" s="55"/>
      <c r="AC37" s="55"/>
      <c r="AD37" s="55"/>
    </row>
    <row r="38" spans="2:30" s="9" customFormat="1" x14ac:dyDescent="0.25">
      <c r="C38" s="132" t="s">
        <v>34</v>
      </c>
      <c r="D38" s="133"/>
      <c r="E38" s="13">
        <f>E19+E20</f>
        <v>0</v>
      </c>
      <c r="F38" s="39" t="s">
        <v>6</v>
      </c>
      <c r="G38" s="8">
        <v>1.1000000000000001</v>
      </c>
      <c r="H38" s="134" t="s">
        <v>26</v>
      </c>
      <c r="I38" s="134"/>
      <c r="J38" s="34" t="s">
        <v>25</v>
      </c>
      <c r="K38" s="127">
        <f>E38*G38</f>
        <v>0</v>
      </c>
      <c r="L38" s="128"/>
      <c r="M38" s="22" t="s">
        <v>6</v>
      </c>
      <c r="N38" s="109"/>
      <c r="O38" s="110"/>
      <c r="P38" s="111"/>
      <c r="Q38" s="97"/>
      <c r="R38" s="98"/>
      <c r="S38" s="98"/>
      <c r="T38" s="98"/>
      <c r="U38" s="99"/>
      <c r="W38" s="55"/>
      <c r="X38" s="55"/>
      <c r="Y38" s="55"/>
      <c r="Z38" s="55"/>
      <c r="AA38" s="55"/>
      <c r="AB38" s="55"/>
      <c r="AC38" s="55"/>
      <c r="AD38" s="55"/>
    </row>
    <row r="39" spans="2:30" x14ac:dyDescent="0.25">
      <c r="C39" s="120" t="s">
        <v>55</v>
      </c>
      <c r="D39" s="121"/>
      <c r="E39" s="121"/>
      <c r="F39" s="121"/>
      <c r="G39" s="121"/>
      <c r="H39" s="121"/>
      <c r="I39" s="121"/>
      <c r="J39" s="122"/>
      <c r="K39" s="123"/>
      <c r="L39" s="124"/>
      <c r="M39" s="124"/>
      <c r="N39" s="124"/>
      <c r="O39" s="124"/>
      <c r="P39" s="125"/>
      <c r="Q39" s="117"/>
      <c r="R39" s="118"/>
      <c r="S39" s="118"/>
      <c r="T39" s="118"/>
      <c r="U39" s="119"/>
      <c r="W39" s="48"/>
      <c r="X39" s="48"/>
      <c r="Y39" s="48"/>
      <c r="Z39" s="48"/>
      <c r="AA39" s="48"/>
      <c r="AB39" s="48"/>
      <c r="AC39" s="48"/>
      <c r="AD39" s="48"/>
    </row>
    <row r="40" spans="2:30" x14ac:dyDescent="0.25">
      <c r="C40" s="158" t="str">
        <f>IF(D5="Минеральная",Лист1!C12,Лист1!C13)</f>
        <v>Фасадная тонирующуя грунтовка vetonit prim Uni (25 кг)</v>
      </c>
      <c r="D40" s="159"/>
      <c r="E40" s="14">
        <f>D10+E23</f>
        <v>150</v>
      </c>
      <c r="F40" s="37" t="s">
        <v>5</v>
      </c>
      <c r="G40" s="37">
        <f>VLOOKUP(C40,Лист1!C12:G14,2,0)</f>
        <v>0.2</v>
      </c>
      <c r="H40" s="83" t="str">
        <f>VLOOKUP(C40,Лист1!C12:G14,3,0)</f>
        <v>кг/м2</v>
      </c>
      <c r="I40" s="83"/>
      <c r="J40" s="31" t="s">
        <v>33</v>
      </c>
      <c r="K40" s="129">
        <f>G40*E40</f>
        <v>30</v>
      </c>
      <c r="L40" s="130"/>
      <c r="M40" s="22" t="str">
        <f>VLOOKUP(C40,Лист1!C12:H14,6,0)</f>
        <v>кг</v>
      </c>
      <c r="N40" s="23">
        <v>0</v>
      </c>
      <c r="O40" s="141">
        <f>N40*K40</f>
        <v>0</v>
      </c>
      <c r="P40" s="142"/>
      <c r="Q40" s="59">
        <f>VLOOKUP(C40,Лист1!C12:H14,4,0)</f>
        <v>2</v>
      </c>
      <c r="R40" s="8" t="str">
        <f>VLOOKUP(C40,Лист1!C12:H14,5,0)</f>
        <v>вед.</v>
      </c>
      <c r="S40" s="148">
        <v>0</v>
      </c>
      <c r="T40" s="148"/>
      <c r="U40" s="46">
        <f>S40*Q40</f>
        <v>0</v>
      </c>
      <c r="W40" s="48"/>
      <c r="X40" s="48"/>
      <c r="Y40" s="48"/>
      <c r="Z40" s="48"/>
      <c r="AA40" s="48"/>
      <c r="AB40" s="48"/>
      <c r="AC40" s="48"/>
      <c r="AD40" s="48"/>
    </row>
    <row r="41" spans="2:30" ht="32.1" customHeight="1" x14ac:dyDescent="0.25">
      <c r="C41" s="160" t="str">
        <f>IF(D5="Минеральная",Лист1!K6,VLOOKUP(СФТК!D4,Лист1!L2:M4,2,0))</f>
        <v>Силикатно-силиконовая декоративная штукатурка vetonit pas ExtraClean (25 кг)</v>
      </c>
      <c r="D41" s="161"/>
      <c r="E41" s="15">
        <f>D10+E23+E44+E45+E46</f>
        <v>150</v>
      </c>
      <c r="F41" s="41" t="s">
        <v>5</v>
      </c>
      <c r="G41" s="15">
        <f>VLOOKUP(Лист1!K8,Лист1!D18:E30,2,0)</f>
        <v>3.7</v>
      </c>
      <c r="H41" s="145" t="s">
        <v>29</v>
      </c>
      <c r="I41" s="145"/>
      <c r="J41" s="35">
        <f>VLOOKUP(Лист1!K8,Лист1!D18:F30,3,0)</f>
        <v>2</v>
      </c>
      <c r="K41" s="146">
        <f>E41*G41</f>
        <v>555</v>
      </c>
      <c r="L41" s="147"/>
      <c r="M41" s="24" t="s">
        <v>31</v>
      </c>
      <c r="N41" s="23">
        <v>0</v>
      </c>
      <c r="O41" s="141">
        <f>N41*K41</f>
        <v>0</v>
      </c>
      <c r="P41" s="142"/>
      <c r="Q41" s="61">
        <f>ROUNDUP(K41/25,0)</f>
        <v>23</v>
      </c>
      <c r="R41" s="62" t="str">
        <f>IF(D5="Минеральная","меш.","вед.")</f>
        <v>вед.</v>
      </c>
      <c r="S41" s="148">
        <v>0</v>
      </c>
      <c r="T41" s="148"/>
      <c r="U41" s="46">
        <f>S41*Q41</f>
        <v>0</v>
      </c>
      <c r="W41" s="48"/>
      <c r="X41" s="48"/>
      <c r="Y41" s="48"/>
      <c r="Z41" s="48"/>
      <c r="AA41" s="48"/>
      <c r="AB41" s="48"/>
      <c r="AC41" s="48"/>
      <c r="AD41" s="48"/>
    </row>
    <row r="42" spans="2:30" ht="18" customHeight="1" x14ac:dyDescent="0.25">
      <c r="C42" s="158" t="str">
        <f>IF(D5="Полимерная","-",VLOOKUP(D4,Лист1!L2:N4,3,0))</f>
        <v>-</v>
      </c>
      <c r="D42" s="159"/>
      <c r="E42" s="83"/>
      <c r="F42" s="83"/>
      <c r="G42" s="83"/>
      <c r="H42" s="83"/>
      <c r="I42" s="83"/>
      <c r="J42" s="84"/>
      <c r="K42" s="85"/>
      <c r="L42" s="86"/>
      <c r="M42" s="86"/>
      <c r="N42" s="86"/>
      <c r="O42" s="86"/>
      <c r="P42" s="87"/>
      <c r="Q42" s="88"/>
      <c r="R42" s="89"/>
      <c r="S42" s="89"/>
      <c r="T42" s="89"/>
      <c r="U42" s="90"/>
      <c r="W42" s="48"/>
      <c r="X42" s="48"/>
      <c r="Y42" s="48"/>
      <c r="Z42" s="48"/>
      <c r="AA42" s="48"/>
      <c r="AB42" s="48"/>
      <c r="AC42" s="48"/>
      <c r="AD42" s="48"/>
    </row>
    <row r="43" spans="2:30" x14ac:dyDescent="0.25">
      <c r="C43" s="153" t="s">
        <v>49</v>
      </c>
      <c r="D43" s="154"/>
      <c r="E43" s="14">
        <f>D10+E23</f>
        <v>150</v>
      </c>
      <c r="F43" s="37" t="s">
        <v>5</v>
      </c>
      <c r="G43" s="37">
        <f>VLOOKUP(Лист1!K8,Лист1!D18:H30,5,0)</f>
        <v>0.65</v>
      </c>
      <c r="H43" s="83" t="s">
        <v>29</v>
      </c>
      <c r="I43" s="83"/>
      <c r="J43" s="31" t="s">
        <v>53</v>
      </c>
      <c r="K43" s="143">
        <f>G43*E43</f>
        <v>97.5</v>
      </c>
      <c r="L43" s="144"/>
      <c r="M43" s="22" t="s">
        <v>31</v>
      </c>
      <c r="N43" s="23">
        <v>0</v>
      </c>
      <c r="O43" s="141">
        <f>N43*K43</f>
        <v>0</v>
      </c>
      <c r="P43" s="142"/>
      <c r="Q43" s="59">
        <f>ROUNDUP(K43/25,0)</f>
        <v>4</v>
      </c>
      <c r="R43" s="8" t="s">
        <v>41</v>
      </c>
      <c r="S43" s="148">
        <v>0</v>
      </c>
      <c r="T43" s="148"/>
      <c r="U43" s="46">
        <f>S43*Q43</f>
        <v>0</v>
      </c>
      <c r="W43" s="48"/>
      <c r="X43" s="48"/>
      <c r="Y43" s="48"/>
      <c r="Z43" s="48"/>
      <c r="AA43" s="48"/>
      <c r="AB43" s="48"/>
      <c r="AC43" s="48"/>
      <c r="AD43" s="48"/>
    </row>
    <row r="44" spans="2:30" x14ac:dyDescent="0.25">
      <c r="C44" s="153" t="s">
        <v>52</v>
      </c>
      <c r="D44" s="154"/>
      <c r="E44" s="37"/>
      <c r="F44" s="37" t="s">
        <v>5</v>
      </c>
      <c r="G44" s="37">
        <f>G43</f>
        <v>0.65</v>
      </c>
      <c r="H44" s="83" t="s">
        <v>29</v>
      </c>
      <c r="I44" s="83"/>
      <c r="J44" s="31" t="s">
        <v>53</v>
      </c>
      <c r="K44" s="143">
        <f>G44*E44</f>
        <v>0</v>
      </c>
      <c r="L44" s="144"/>
      <c r="M44" s="22" t="s">
        <v>31</v>
      </c>
      <c r="N44" s="23">
        <v>0</v>
      </c>
      <c r="O44" s="141">
        <f>N44*K44</f>
        <v>0</v>
      </c>
      <c r="P44" s="142"/>
      <c r="Q44" s="59">
        <f>ROUNDUP(K44/25,0)</f>
        <v>0</v>
      </c>
      <c r="R44" s="8" t="s">
        <v>41</v>
      </c>
      <c r="S44" s="148">
        <v>0</v>
      </c>
      <c r="T44" s="148"/>
      <c r="U44" s="46">
        <f>S44*Q44</f>
        <v>0</v>
      </c>
      <c r="W44" s="48"/>
      <c r="X44" s="48"/>
      <c r="Y44" s="48"/>
      <c r="Z44" s="48"/>
      <c r="AA44" s="48"/>
      <c r="AB44" s="48"/>
      <c r="AC44" s="48"/>
      <c r="AD44" s="48"/>
    </row>
    <row r="45" spans="2:30" x14ac:dyDescent="0.25">
      <c r="C45" s="153" t="s">
        <v>50</v>
      </c>
      <c r="D45" s="154"/>
      <c r="E45" s="37"/>
      <c r="F45" s="37" t="s">
        <v>5</v>
      </c>
      <c r="G45" s="37">
        <f>G43</f>
        <v>0.65</v>
      </c>
      <c r="H45" s="83" t="s">
        <v>29</v>
      </c>
      <c r="I45" s="83"/>
      <c r="J45" s="31" t="s">
        <v>53</v>
      </c>
      <c r="K45" s="143">
        <f>G45*E45</f>
        <v>0</v>
      </c>
      <c r="L45" s="144"/>
      <c r="M45" s="22" t="s">
        <v>31</v>
      </c>
      <c r="N45" s="23">
        <v>0</v>
      </c>
      <c r="O45" s="141">
        <f>N45*K45</f>
        <v>0</v>
      </c>
      <c r="P45" s="142"/>
      <c r="Q45" s="59">
        <f>ROUNDUP(K45/25,0)</f>
        <v>0</v>
      </c>
      <c r="R45" s="8" t="s">
        <v>41</v>
      </c>
      <c r="S45" s="148">
        <v>0</v>
      </c>
      <c r="T45" s="148"/>
      <c r="U45" s="46">
        <f>S45*Q45</f>
        <v>0</v>
      </c>
      <c r="W45" s="48"/>
      <c r="X45" s="48"/>
      <c r="Y45" s="48"/>
      <c r="Z45" s="48"/>
      <c r="AA45" s="48"/>
      <c r="AB45" s="48"/>
      <c r="AC45" s="48"/>
      <c r="AD45" s="48"/>
    </row>
    <row r="46" spans="2:30" ht="15.75" thickBot="1" x14ac:dyDescent="0.3">
      <c r="C46" s="155" t="s">
        <v>51</v>
      </c>
      <c r="D46" s="156"/>
      <c r="E46" s="38"/>
      <c r="F46" s="38" t="s">
        <v>5</v>
      </c>
      <c r="G46" s="38">
        <f>G43</f>
        <v>0.65</v>
      </c>
      <c r="H46" s="157" t="s">
        <v>29</v>
      </c>
      <c r="I46" s="157"/>
      <c r="J46" s="36" t="s">
        <v>53</v>
      </c>
      <c r="K46" s="143">
        <f>G46*E46</f>
        <v>0</v>
      </c>
      <c r="L46" s="144"/>
      <c r="M46" s="22" t="s">
        <v>31</v>
      </c>
      <c r="N46" s="23">
        <v>0</v>
      </c>
      <c r="O46" s="141">
        <f>N46*K46</f>
        <v>0</v>
      </c>
      <c r="P46" s="142"/>
      <c r="Q46" s="59">
        <f>ROUNDUP(K46/25,0)</f>
        <v>0</v>
      </c>
      <c r="R46" s="8" t="s">
        <v>41</v>
      </c>
      <c r="S46" s="148">
        <v>0</v>
      </c>
      <c r="T46" s="148"/>
      <c r="U46" s="46">
        <f>S46*Q46</f>
        <v>0</v>
      </c>
      <c r="W46" s="48"/>
      <c r="X46" s="48"/>
      <c r="Y46" s="48"/>
      <c r="Z46" s="48"/>
      <c r="AA46" s="48"/>
      <c r="AB46" s="48"/>
      <c r="AC46" s="48"/>
      <c r="AD46" s="48"/>
    </row>
    <row r="47" spans="2:30" ht="18.600000000000001" customHeight="1" thickBot="1" x14ac:dyDescent="0.3">
      <c r="C47" s="30"/>
      <c r="D47" s="30"/>
      <c r="E47" s="30"/>
      <c r="F47" s="30"/>
      <c r="G47" s="30"/>
      <c r="H47" s="30"/>
      <c r="I47" s="30"/>
      <c r="J47" s="30"/>
      <c r="K47" s="100" t="s">
        <v>66</v>
      </c>
      <c r="L47" s="101"/>
      <c r="M47" s="101"/>
      <c r="N47" s="102"/>
      <c r="O47" s="75">
        <f>O28+O30+O31+O34+O35+O40+O41+O43+O44+O45+O46</f>
        <v>0</v>
      </c>
      <c r="P47" s="76"/>
      <c r="Q47" s="100" t="s">
        <v>66</v>
      </c>
      <c r="R47" s="101"/>
      <c r="S47" s="101"/>
      <c r="T47" s="102"/>
      <c r="U47" s="29">
        <f>U28+U30+U31+U34+U35+U40+U41+U43+U44+U45+U46</f>
        <v>300</v>
      </c>
      <c r="W47" s="48"/>
      <c r="X47" s="48"/>
      <c r="Y47" s="48"/>
      <c r="Z47" s="48"/>
      <c r="AA47" s="48"/>
      <c r="AB47" s="48"/>
      <c r="AC47" s="48"/>
      <c r="AD47" s="48"/>
    </row>
    <row r="48" spans="2:30" x14ac:dyDescent="0.25">
      <c r="Q48" s="74" t="s">
        <v>126</v>
      </c>
      <c r="R48" s="74"/>
      <c r="S48" s="74"/>
      <c r="T48" s="74"/>
      <c r="U48" s="57">
        <v>50</v>
      </c>
      <c r="W48" s="48"/>
      <c r="X48" s="48"/>
      <c r="Y48" s="48"/>
      <c r="Z48" s="48"/>
      <c r="AA48" s="48"/>
      <c r="AB48" s="48"/>
      <c r="AC48" s="48"/>
      <c r="AD48" s="48"/>
    </row>
    <row r="49" spans="17:30" x14ac:dyDescent="0.25">
      <c r="Q49" s="66" t="s">
        <v>125</v>
      </c>
      <c r="R49" s="66"/>
      <c r="S49" s="66"/>
      <c r="T49" s="66"/>
      <c r="U49" s="58">
        <f>U47*U48/100</f>
        <v>150</v>
      </c>
      <c r="W49" s="48"/>
      <c r="X49" s="48"/>
      <c r="Y49" s="48"/>
      <c r="Z49" s="48"/>
      <c r="AA49" s="48"/>
      <c r="AB49" s="48"/>
      <c r="AC49" s="48"/>
      <c r="AD49" s="48"/>
    </row>
    <row r="50" spans="17:30" x14ac:dyDescent="0.25">
      <c r="Q50" s="66" t="s">
        <v>127</v>
      </c>
      <c r="R50" s="66"/>
      <c r="S50" s="66"/>
      <c r="T50" s="66"/>
      <c r="U50" s="58">
        <f>U47-U49</f>
        <v>150</v>
      </c>
      <c r="W50" s="48"/>
      <c r="X50" s="48"/>
      <c r="Y50" s="48"/>
      <c r="Z50" s="48"/>
      <c r="AA50" s="48"/>
      <c r="AB50" s="48"/>
      <c r="AC50" s="48"/>
      <c r="AD50" s="48"/>
    </row>
  </sheetData>
  <sheetProtection formatCells="0" formatColumns="0" formatRows="0" sort="0" autoFilter="0" pivotTables="0"/>
  <mergeCells count="141">
    <mergeCell ref="U13:V13"/>
    <mergeCell ref="U16:V16"/>
    <mergeCell ref="C21:D21"/>
    <mergeCell ref="C22:D22"/>
    <mergeCell ref="H13:H15"/>
    <mergeCell ref="H16:H18"/>
    <mergeCell ref="L13:L15"/>
    <mergeCell ref="L16:L18"/>
    <mergeCell ref="E13:F13"/>
    <mergeCell ref="E16:F16"/>
    <mergeCell ref="C13:C15"/>
    <mergeCell ref="C16:C18"/>
    <mergeCell ref="D13:D15"/>
    <mergeCell ref="D16:D18"/>
    <mergeCell ref="C19:D19"/>
    <mergeCell ref="C20:D20"/>
    <mergeCell ref="T13:T15"/>
    <mergeCell ref="Q13:R13"/>
    <mergeCell ref="I16:J16"/>
    <mergeCell ref="T16:T18"/>
    <mergeCell ref="C9:F9"/>
    <mergeCell ref="K28:L28"/>
    <mergeCell ref="H30:I30"/>
    <mergeCell ref="H28:I28"/>
    <mergeCell ref="K25:L25"/>
    <mergeCell ref="C23:D23"/>
    <mergeCell ref="Q16:R16"/>
    <mergeCell ref="M13:N13"/>
    <mergeCell ref="M16:N16"/>
    <mergeCell ref="I13:J13"/>
    <mergeCell ref="O25:P25"/>
    <mergeCell ref="O28:P28"/>
    <mergeCell ref="O30:P30"/>
    <mergeCell ref="P13:P15"/>
    <mergeCell ref="P16:P18"/>
    <mergeCell ref="C28:D28"/>
    <mergeCell ref="C30:D30"/>
    <mergeCell ref="C25:D26"/>
    <mergeCell ref="C27:J27"/>
    <mergeCell ref="H44:I44"/>
    <mergeCell ref="H45:I45"/>
    <mergeCell ref="H46:I46"/>
    <mergeCell ref="C40:D40"/>
    <mergeCell ref="C41:D41"/>
    <mergeCell ref="C42:D42"/>
    <mergeCell ref="C43:D43"/>
    <mergeCell ref="C44:D44"/>
    <mergeCell ref="K43:L43"/>
    <mergeCell ref="K44:L44"/>
    <mergeCell ref="S44:T44"/>
    <mergeCell ref="S45:T45"/>
    <mergeCell ref="S46:T46"/>
    <mergeCell ref="S28:T28"/>
    <mergeCell ref="S30:T30"/>
    <mergeCell ref="S31:T31"/>
    <mergeCell ref="S34:T34"/>
    <mergeCell ref="S35:T35"/>
    <mergeCell ref="S40:T40"/>
    <mergeCell ref="S41:T41"/>
    <mergeCell ref="S43:T43"/>
    <mergeCell ref="O41:P41"/>
    <mergeCell ref="O43:P43"/>
    <mergeCell ref="O44:P44"/>
    <mergeCell ref="K45:L45"/>
    <mergeCell ref="K46:L46"/>
    <mergeCell ref="H41:I41"/>
    <mergeCell ref="K41:L41"/>
    <mergeCell ref="K35:L35"/>
    <mergeCell ref="H37:I37"/>
    <mergeCell ref="K37:L37"/>
    <mergeCell ref="H36:I36"/>
    <mergeCell ref="K36:L36"/>
    <mergeCell ref="H35:I35"/>
    <mergeCell ref="O45:P45"/>
    <mergeCell ref="O46:P46"/>
    <mergeCell ref="K39:P39"/>
    <mergeCell ref="C39:J39"/>
    <mergeCell ref="O35:P35"/>
    <mergeCell ref="O40:P40"/>
    <mergeCell ref="H40:I40"/>
    <mergeCell ref="K40:L40"/>
    <mergeCell ref="C45:D45"/>
    <mergeCell ref="C46:D46"/>
    <mergeCell ref="H43:I43"/>
    <mergeCell ref="C38:D38"/>
    <mergeCell ref="H38:I38"/>
    <mergeCell ref="K38:L38"/>
    <mergeCell ref="H25:I26"/>
    <mergeCell ref="G25:G26"/>
    <mergeCell ref="F25:F26"/>
    <mergeCell ref="E25:E26"/>
    <mergeCell ref="Q27:U27"/>
    <mergeCell ref="Q29:U29"/>
    <mergeCell ref="Q33:U33"/>
    <mergeCell ref="K33:P33"/>
    <mergeCell ref="C29:J29"/>
    <mergeCell ref="C33:J33"/>
    <mergeCell ref="O34:P34"/>
    <mergeCell ref="C32:D32"/>
    <mergeCell ref="C31:D31"/>
    <mergeCell ref="O31:P31"/>
    <mergeCell ref="C34:D34"/>
    <mergeCell ref="C35:D35"/>
    <mergeCell ref="C36:D36"/>
    <mergeCell ref="C37:D37"/>
    <mergeCell ref="H34:I34"/>
    <mergeCell ref="K34:L34"/>
    <mergeCell ref="J25:J26"/>
    <mergeCell ref="Q39:U39"/>
    <mergeCell ref="K27:P27"/>
    <mergeCell ref="K29:P29"/>
    <mergeCell ref="S25:T25"/>
    <mergeCell ref="K32:L32"/>
    <mergeCell ref="K31:L31"/>
    <mergeCell ref="K30:L30"/>
    <mergeCell ref="H32:I32"/>
    <mergeCell ref="H31:I31"/>
    <mergeCell ref="B30:B31"/>
    <mergeCell ref="Q49:T49"/>
    <mergeCell ref="Q50:T50"/>
    <mergeCell ref="D4:F4"/>
    <mergeCell ref="D5:F5"/>
    <mergeCell ref="D6:F6"/>
    <mergeCell ref="C3:F3"/>
    <mergeCell ref="C7:F8"/>
    <mergeCell ref="C12:F12"/>
    <mergeCell ref="D10:E10"/>
    <mergeCell ref="D11:E11"/>
    <mergeCell ref="Q48:T48"/>
    <mergeCell ref="O47:P47"/>
    <mergeCell ref="K26:P26"/>
    <mergeCell ref="Q26:U26"/>
    <mergeCell ref="E42:J42"/>
    <mergeCell ref="K42:P42"/>
    <mergeCell ref="Q42:U42"/>
    <mergeCell ref="Q36:U38"/>
    <mergeCell ref="Q32:U32"/>
    <mergeCell ref="Q47:T47"/>
    <mergeCell ref="K47:N47"/>
    <mergeCell ref="N36:P38"/>
    <mergeCell ref="N32:P3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Лист1!$C$3:$C$5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Лист1!$K$3:$K$4</xm:f>
          </x14:formula1>
          <xm:sqref>D5</xm:sqref>
        </x14:dataValidation>
        <x14:dataValidation type="list" allowBlank="1" showInputMessage="1" showErrorMessage="1" xr:uid="{00000000-0002-0000-0000-000002000000}">
          <x14:formula1>
            <xm:f>Лист1!$C$21:$C$23</xm:f>
          </x14:formula1>
          <xm:sqref>D6</xm:sqref>
        </x14:dataValidation>
        <x14:dataValidation type="list" allowBlank="1" showInputMessage="1" showErrorMessage="1" xr:uid="{11A2BD1B-65AA-4128-AC77-C6C48BF3C641}">
          <x14:formula1>
            <xm:f>Лист1!$L$18:$L$19</xm:f>
          </x14:formula1>
          <xm:sqref>C30:D30</xm:sqref>
        </x14:dataValidation>
        <x14:dataValidation type="list" allowBlank="1" showInputMessage="1" showErrorMessage="1" xr:uid="{CA4776C4-C131-4607-8DA7-DD4D3B00DC88}">
          <x14:formula1>
            <xm:f>Лист1!$L$11:$L$13</xm:f>
          </x14:formula1>
          <xm:sqref>C31:D31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2"/>
  <sheetViews>
    <sheetView zoomScale="80" zoomScaleNormal="80" workbookViewId="0">
      <selection activeCell="R12" sqref="R12"/>
    </sheetView>
  </sheetViews>
  <sheetFormatPr defaultRowHeight="15" x14ac:dyDescent="0.25"/>
  <cols>
    <col min="3" max="3" width="68.7109375" customWidth="1"/>
    <col min="4" max="4" width="9" customWidth="1"/>
    <col min="5" max="5" width="11.28515625" customWidth="1"/>
    <col min="6" max="6" width="11.140625" customWidth="1"/>
    <col min="8" max="8" width="8.7109375" style="18"/>
    <col min="10" max="10" width="11.140625" customWidth="1"/>
    <col min="11" max="12" width="16.42578125" customWidth="1"/>
    <col min="13" max="13" width="27.42578125" customWidth="1"/>
  </cols>
  <sheetData>
    <row r="1" spans="3:14" x14ac:dyDescent="0.25">
      <c r="L1" s="16" t="s">
        <v>107</v>
      </c>
      <c r="M1" s="16" t="s">
        <v>75</v>
      </c>
      <c r="N1" s="16" t="s">
        <v>108</v>
      </c>
    </row>
    <row r="2" spans="3:14" x14ac:dyDescent="0.25">
      <c r="C2" s="1" t="s">
        <v>73</v>
      </c>
      <c r="K2" s="5" t="s">
        <v>76</v>
      </c>
      <c r="L2" s="26" t="s">
        <v>122</v>
      </c>
      <c r="M2" t="s">
        <v>103</v>
      </c>
      <c r="N2" t="s">
        <v>119</v>
      </c>
    </row>
    <row r="3" spans="3:14" ht="15" customHeight="1" x14ac:dyDescent="0.25">
      <c r="C3" s="27" t="s">
        <v>122</v>
      </c>
      <c r="D3" s="26"/>
      <c r="E3" s="26"/>
      <c r="F3" s="26"/>
      <c r="K3" s="25" t="s">
        <v>77</v>
      </c>
      <c r="L3" t="s">
        <v>123</v>
      </c>
      <c r="M3" s="26" t="s">
        <v>97</v>
      </c>
      <c r="N3" t="s">
        <v>120</v>
      </c>
    </row>
    <row r="4" spans="3:14" x14ac:dyDescent="0.25">
      <c r="C4" s="1" t="s">
        <v>123</v>
      </c>
      <c r="K4" s="1" t="s">
        <v>78</v>
      </c>
      <c r="L4" t="s">
        <v>74</v>
      </c>
      <c r="M4" t="s">
        <v>102</v>
      </c>
      <c r="N4" t="s">
        <v>121</v>
      </c>
    </row>
    <row r="5" spans="3:14" x14ac:dyDescent="0.25">
      <c r="C5" s="1" t="s">
        <v>74</v>
      </c>
    </row>
    <row r="6" spans="3:14" x14ac:dyDescent="0.25">
      <c r="C6" s="1"/>
      <c r="D6" s="1"/>
      <c r="E6" s="1"/>
      <c r="F6" s="2"/>
      <c r="G6" s="2"/>
      <c r="H6" s="17"/>
      <c r="I6" s="2"/>
      <c r="J6" s="1"/>
      <c r="K6" t="s">
        <v>79</v>
      </c>
      <c r="L6" s="1"/>
      <c r="M6" s="1"/>
    </row>
    <row r="7" spans="3:14" x14ac:dyDescent="0.25">
      <c r="C7" s="1" t="s">
        <v>61</v>
      </c>
      <c r="D7" s="2"/>
      <c r="E7" s="2" t="s">
        <v>64</v>
      </c>
      <c r="F7" s="2"/>
      <c r="G7" s="2"/>
      <c r="H7" s="17"/>
      <c r="I7" s="2"/>
      <c r="J7" s="1"/>
      <c r="K7" s="1"/>
      <c r="L7" s="1"/>
      <c r="M7" s="1"/>
    </row>
    <row r="8" spans="3:14" x14ac:dyDescent="0.25">
      <c r="C8" s="1" t="s">
        <v>62</v>
      </c>
      <c r="D8" s="2" t="s">
        <v>62</v>
      </c>
      <c r="E8" s="2">
        <f>СФТК!D11+(СФТК!J30+СФТК!J34)/1000</f>
        <v>150.01400000000001</v>
      </c>
      <c r="F8" s="2"/>
      <c r="G8" s="2"/>
      <c r="H8" s="17"/>
      <c r="I8" s="2"/>
      <c r="J8" s="1"/>
      <c r="K8" s="1" t="str">
        <f>СФТК!C41 &amp; СФТК!D6</f>
        <v>Силикатно-силиконовая декоративная штукатурка vetonit pas ExtraClean (25 кг)2.0мм "шуба"</v>
      </c>
      <c r="L8" s="1"/>
      <c r="M8" s="1"/>
    </row>
    <row r="9" spans="3:14" x14ac:dyDescent="0.25">
      <c r="C9" s="1" t="s">
        <v>63</v>
      </c>
      <c r="D9" s="2" t="s">
        <v>63</v>
      </c>
      <c r="E9" s="2">
        <v>0.1</v>
      </c>
      <c r="F9" s="2"/>
      <c r="G9" s="2"/>
      <c r="H9" s="17"/>
      <c r="I9" s="2"/>
      <c r="J9" s="1"/>
      <c r="K9" s="1"/>
      <c r="L9" s="1"/>
      <c r="M9" s="1"/>
    </row>
    <row r="10" spans="3:14" x14ac:dyDescent="0.25">
      <c r="C10" s="1">
        <v>1</v>
      </c>
      <c r="D10" s="2">
        <v>2</v>
      </c>
      <c r="E10" s="2">
        <v>3</v>
      </c>
      <c r="F10" s="2">
        <v>4</v>
      </c>
      <c r="G10" s="2">
        <v>5</v>
      </c>
      <c r="H10" s="17">
        <v>6</v>
      </c>
      <c r="I10" s="2"/>
      <c r="J10" s="1"/>
      <c r="K10" s="1"/>
      <c r="L10" s="63" t="s">
        <v>61</v>
      </c>
      <c r="M10" s="1"/>
    </row>
    <row r="11" spans="3:14" x14ac:dyDescent="0.25">
      <c r="C11" s="1"/>
      <c r="D11" s="2" t="s">
        <v>37</v>
      </c>
      <c r="E11" s="2" t="s">
        <v>44</v>
      </c>
      <c r="F11" s="2" t="s">
        <v>54</v>
      </c>
      <c r="G11" s="1"/>
      <c r="H11" s="17"/>
      <c r="I11" s="2"/>
      <c r="J11" s="1"/>
      <c r="K11" s="1"/>
      <c r="L11" s="26" t="str">
        <f>IF(СФТК!D4="базовый","ППС / ЭППС","-")</f>
        <v>-</v>
      </c>
      <c r="M11" s="1"/>
    </row>
    <row r="12" spans="3:14" x14ac:dyDescent="0.25">
      <c r="C12" s="1" t="s">
        <v>71</v>
      </c>
      <c r="D12" s="3">
        <v>0.15</v>
      </c>
      <c r="E12" s="2" t="s">
        <v>39</v>
      </c>
      <c r="F12" s="3">
        <f>ROUNDUP(СФТК!K40/10,0)</f>
        <v>3</v>
      </c>
      <c r="G12" s="1" t="s">
        <v>40</v>
      </c>
      <c r="H12" s="17" t="s">
        <v>38</v>
      </c>
      <c r="I12" s="2"/>
      <c r="J12" s="1"/>
      <c r="K12" s="1"/>
      <c r="L12" t="str">
        <f>IF(СФТК!D4="базовый","-","Минеральная вата ISOVER Фасад Лайт")</f>
        <v>Минеральная вата ISOVER Фасад Лайт</v>
      </c>
      <c r="M12" s="1"/>
    </row>
    <row r="13" spans="3:14" x14ac:dyDescent="0.25">
      <c r="C13" s="1" t="s">
        <v>70</v>
      </c>
      <c r="D13" s="3">
        <v>0.2</v>
      </c>
      <c r="E13" s="2" t="s">
        <v>29</v>
      </c>
      <c r="F13" s="3">
        <f>ROUNDUP(СФТК!K40/25,0)</f>
        <v>2</v>
      </c>
      <c r="G13" s="1" t="s">
        <v>41</v>
      </c>
      <c r="H13" s="17" t="s">
        <v>31</v>
      </c>
      <c r="I13" s="2"/>
      <c r="J13" s="1"/>
      <c r="K13" s="1"/>
      <c r="L13" t="str">
        <f>IF(СФТК!D4="базовый","-","Минеральная вата ISOVER Штукатурный Фасад")</f>
        <v>Минеральная вата ISOVER Штукатурный Фасад</v>
      </c>
      <c r="M13" s="1"/>
    </row>
    <row r="14" spans="3:14" x14ac:dyDescent="0.25">
      <c r="C14" s="1" t="s">
        <v>25</v>
      </c>
      <c r="D14" s="1">
        <v>0</v>
      </c>
      <c r="E14" s="2">
        <v>0</v>
      </c>
      <c r="F14" s="2">
        <v>0</v>
      </c>
      <c r="G14" s="2">
        <v>0</v>
      </c>
      <c r="H14" s="17">
        <v>0</v>
      </c>
      <c r="I14" s="2"/>
      <c r="J14" s="1"/>
      <c r="K14" s="1"/>
      <c r="M14" s="1"/>
    </row>
    <row r="15" spans="3:14" x14ac:dyDescent="0.25">
      <c r="C15" s="1"/>
      <c r="D15" s="1"/>
      <c r="E15" s="2"/>
      <c r="F15" s="2"/>
      <c r="G15" s="2"/>
      <c r="H15" s="17"/>
      <c r="I15" s="2"/>
      <c r="J15" s="1"/>
      <c r="K15" s="1"/>
      <c r="M15" s="1"/>
    </row>
    <row r="16" spans="3:14" x14ac:dyDescent="0.25">
      <c r="C16" s="1"/>
      <c r="D16" s="2">
        <v>1</v>
      </c>
      <c r="E16" s="2">
        <v>2</v>
      </c>
      <c r="F16" s="2">
        <v>3</v>
      </c>
      <c r="G16" s="2">
        <v>4</v>
      </c>
      <c r="H16" s="17">
        <v>5</v>
      </c>
      <c r="I16" s="2"/>
      <c r="J16" s="2"/>
      <c r="K16" s="2"/>
      <c r="L16" s="2"/>
      <c r="M16" s="1"/>
    </row>
    <row r="17" spans="2:14" x14ac:dyDescent="0.25">
      <c r="C17" s="1" t="s">
        <v>42</v>
      </c>
      <c r="D17" s="2"/>
      <c r="E17" s="2" t="s">
        <v>37</v>
      </c>
      <c r="F17" s="2" t="s">
        <v>43</v>
      </c>
      <c r="G17" s="17" t="s">
        <v>45</v>
      </c>
      <c r="H17" s="2"/>
      <c r="J17" s="2"/>
      <c r="K17" s="2"/>
      <c r="L17" s="1" t="s">
        <v>133</v>
      </c>
      <c r="M17" s="1"/>
      <c r="N17" t="s">
        <v>135</v>
      </c>
    </row>
    <row r="18" spans="2:14" x14ac:dyDescent="0.25">
      <c r="B18" s="169" t="s">
        <v>85</v>
      </c>
      <c r="C18" s="1" t="s">
        <v>82</v>
      </c>
      <c r="D18" s="1" t="s">
        <v>91</v>
      </c>
      <c r="E18" s="3">
        <v>2.2000000000000002</v>
      </c>
      <c r="F18" s="3">
        <v>1.5</v>
      </c>
      <c r="G18" s="17" t="s">
        <v>32</v>
      </c>
      <c r="H18" s="2">
        <v>0.55000000000000004</v>
      </c>
      <c r="J18" s="12"/>
      <c r="K18" s="1"/>
      <c r="L18" s="27" t="s">
        <v>90</v>
      </c>
      <c r="M18" s="1" t="s">
        <v>90</v>
      </c>
      <c r="N18">
        <v>20</v>
      </c>
    </row>
    <row r="19" spans="2:14" x14ac:dyDescent="0.25">
      <c r="B19" s="169"/>
      <c r="C19" s="1" t="s">
        <v>83</v>
      </c>
      <c r="D19" s="1" t="s">
        <v>92</v>
      </c>
      <c r="E19" s="3">
        <v>3</v>
      </c>
      <c r="F19" s="3">
        <v>2</v>
      </c>
      <c r="G19" s="17" t="s">
        <v>32</v>
      </c>
      <c r="H19" s="2">
        <v>0.65</v>
      </c>
      <c r="J19" s="12"/>
      <c r="K19" s="1"/>
      <c r="L19" s="1" t="s">
        <v>134</v>
      </c>
      <c r="M19" s="1" t="s">
        <v>134</v>
      </c>
      <c r="N19">
        <v>25</v>
      </c>
    </row>
    <row r="20" spans="2:14" x14ac:dyDescent="0.25">
      <c r="B20" s="169"/>
      <c r="C20" s="1" t="s">
        <v>84</v>
      </c>
      <c r="D20" s="1" t="s">
        <v>93</v>
      </c>
      <c r="E20" s="3">
        <v>2.6</v>
      </c>
      <c r="F20" s="3">
        <v>2</v>
      </c>
      <c r="G20" s="17" t="s">
        <v>32</v>
      </c>
      <c r="H20" s="2">
        <v>0.65</v>
      </c>
      <c r="J20" s="12"/>
      <c r="K20" s="1"/>
      <c r="L20" s="1"/>
      <c r="M20" s="1"/>
    </row>
    <row r="21" spans="2:14" x14ac:dyDescent="0.25">
      <c r="B21" s="169" t="s">
        <v>86</v>
      </c>
      <c r="C21" s="1" t="s">
        <v>82</v>
      </c>
      <c r="D21" s="1" t="s">
        <v>94</v>
      </c>
      <c r="E21" s="3">
        <v>2.8</v>
      </c>
      <c r="F21" s="3">
        <v>1.5</v>
      </c>
      <c r="G21" s="17" t="s">
        <v>41</v>
      </c>
      <c r="H21" s="2">
        <v>0.55000000000000004</v>
      </c>
      <c r="J21" s="12"/>
      <c r="K21" s="1"/>
      <c r="L21" s="1"/>
      <c r="M21" s="1"/>
    </row>
    <row r="22" spans="2:14" x14ac:dyDescent="0.25">
      <c r="B22" s="169"/>
      <c r="C22" s="1" t="s">
        <v>83</v>
      </c>
      <c r="D22" s="1" t="s">
        <v>95</v>
      </c>
      <c r="E22" s="3">
        <v>3.7</v>
      </c>
      <c r="F22" s="3">
        <v>2</v>
      </c>
      <c r="G22" s="17" t="s">
        <v>41</v>
      </c>
      <c r="H22" s="2">
        <v>0.65</v>
      </c>
      <c r="J22" s="12"/>
      <c r="K22" s="1"/>
      <c r="L22" s="1"/>
      <c r="M22" s="1"/>
    </row>
    <row r="23" spans="2:14" x14ac:dyDescent="0.25">
      <c r="B23" s="169"/>
      <c r="C23" s="1" t="s">
        <v>84</v>
      </c>
      <c r="D23" s="1" t="s">
        <v>96</v>
      </c>
      <c r="E23" s="3">
        <v>3</v>
      </c>
      <c r="F23" s="3">
        <v>2</v>
      </c>
      <c r="G23" s="17" t="s">
        <v>41</v>
      </c>
      <c r="H23" s="2">
        <v>0.65</v>
      </c>
      <c r="J23" s="12"/>
      <c r="K23" s="1"/>
      <c r="L23" s="1"/>
      <c r="M23" s="1"/>
    </row>
    <row r="24" spans="2:14" x14ac:dyDescent="0.25">
      <c r="B24" s="169" t="s">
        <v>87</v>
      </c>
      <c r="C24" s="1" t="s">
        <v>89</v>
      </c>
      <c r="D24" s="1" t="s">
        <v>98</v>
      </c>
      <c r="E24" s="3">
        <v>2.25</v>
      </c>
      <c r="F24" s="3">
        <v>0.5</v>
      </c>
      <c r="G24" s="17" t="s">
        <v>41</v>
      </c>
      <c r="H24" s="2">
        <v>0.5</v>
      </c>
      <c r="J24" s="12"/>
      <c r="K24" s="1"/>
      <c r="L24" s="1"/>
      <c r="M24" s="1"/>
    </row>
    <row r="25" spans="2:14" x14ac:dyDescent="0.25">
      <c r="B25" s="169"/>
      <c r="C25" s="1" t="s">
        <v>82</v>
      </c>
      <c r="D25" s="1" t="s">
        <v>99</v>
      </c>
      <c r="E25" s="3">
        <v>2.6</v>
      </c>
      <c r="F25" s="3">
        <v>1.5</v>
      </c>
      <c r="G25" s="17" t="s">
        <v>41</v>
      </c>
      <c r="H25" s="2">
        <v>0.55000000000000004</v>
      </c>
      <c r="J25" s="12"/>
      <c r="K25" s="1"/>
      <c r="L25" s="1"/>
      <c r="M25" s="1"/>
    </row>
    <row r="26" spans="2:14" x14ac:dyDescent="0.25">
      <c r="B26" s="169"/>
      <c r="C26" s="1" t="s">
        <v>83</v>
      </c>
      <c r="D26" s="1" t="s">
        <v>100</v>
      </c>
      <c r="E26" s="3">
        <v>3.1</v>
      </c>
      <c r="F26" s="3">
        <v>2</v>
      </c>
      <c r="G26" s="17" t="s">
        <v>41</v>
      </c>
      <c r="H26" s="2">
        <v>0.65</v>
      </c>
      <c r="J26" s="12"/>
      <c r="K26" s="1"/>
      <c r="L26" s="1"/>
      <c r="M26" s="1"/>
    </row>
    <row r="27" spans="2:14" x14ac:dyDescent="0.25">
      <c r="B27" s="169"/>
      <c r="C27" s="1" t="s">
        <v>84</v>
      </c>
      <c r="D27" s="1" t="s">
        <v>101</v>
      </c>
      <c r="E27" s="3">
        <v>2.9</v>
      </c>
      <c r="F27" s="3">
        <v>2</v>
      </c>
      <c r="G27" s="17" t="s">
        <v>41</v>
      </c>
      <c r="H27" s="2">
        <v>0.65</v>
      </c>
      <c r="J27" s="12"/>
      <c r="K27" s="1"/>
      <c r="L27" s="1"/>
      <c r="M27" s="1"/>
    </row>
    <row r="28" spans="2:14" x14ac:dyDescent="0.25">
      <c r="B28" s="169" t="s">
        <v>88</v>
      </c>
      <c r="C28" s="1" t="s">
        <v>82</v>
      </c>
      <c r="D28" s="1" t="s">
        <v>104</v>
      </c>
      <c r="E28" s="3">
        <v>2.8</v>
      </c>
      <c r="F28" s="3">
        <v>1.5</v>
      </c>
      <c r="G28" s="17" t="s">
        <v>41</v>
      </c>
      <c r="H28" s="2">
        <v>0.55000000000000004</v>
      </c>
      <c r="J28" s="12"/>
      <c r="K28" s="1"/>
      <c r="L28" s="1"/>
      <c r="M28" s="1"/>
    </row>
    <row r="29" spans="2:14" x14ac:dyDescent="0.25">
      <c r="B29" s="169"/>
      <c r="C29" s="1" t="s">
        <v>83</v>
      </c>
      <c r="D29" s="1" t="s">
        <v>105</v>
      </c>
      <c r="E29" s="3">
        <v>3.7</v>
      </c>
      <c r="F29" s="3">
        <v>2</v>
      </c>
      <c r="G29" s="17" t="s">
        <v>41</v>
      </c>
      <c r="H29" s="2">
        <v>0.65</v>
      </c>
      <c r="J29" s="12"/>
      <c r="K29" s="1"/>
      <c r="L29" s="1"/>
      <c r="M29" s="1"/>
    </row>
    <row r="30" spans="2:14" x14ac:dyDescent="0.25">
      <c r="B30" s="169"/>
      <c r="C30" s="1" t="s">
        <v>84</v>
      </c>
      <c r="D30" s="1" t="s">
        <v>106</v>
      </c>
      <c r="E30" s="3">
        <v>3</v>
      </c>
      <c r="F30" s="3">
        <v>2</v>
      </c>
      <c r="G30" s="17" t="s">
        <v>41</v>
      </c>
      <c r="H30" s="2">
        <v>0.65</v>
      </c>
      <c r="J30" s="12"/>
      <c r="K30" s="1"/>
      <c r="L30" s="1"/>
      <c r="M30" s="1"/>
    </row>
    <row r="31" spans="2:14" x14ac:dyDescent="0.25">
      <c r="C31" s="1"/>
      <c r="D31" s="1"/>
      <c r="E31" s="2"/>
      <c r="F31" s="2"/>
      <c r="G31" s="2"/>
      <c r="H31" s="17"/>
      <c r="I31" s="2"/>
      <c r="J31" s="1"/>
      <c r="K31" s="1"/>
      <c r="L31" s="1"/>
      <c r="M31" s="1"/>
    </row>
    <row r="32" spans="2:14" x14ac:dyDescent="0.25">
      <c r="C32" s="5" t="s">
        <v>46</v>
      </c>
      <c r="D32" s="1"/>
      <c r="E32" s="2"/>
      <c r="F32" s="2"/>
      <c r="G32" s="2"/>
      <c r="H32" s="17"/>
      <c r="I32" s="2"/>
      <c r="J32" s="1"/>
      <c r="K32" s="1"/>
      <c r="L32" s="1"/>
      <c r="M32" s="1"/>
    </row>
    <row r="33" spans="3:13" x14ac:dyDescent="0.25">
      <c r="C33" s="6" t="s">
        <v>47</v>
      </c>
      <c r="D33" s="1" t="s">
        <v>47</v>
      </c>
      <c r="E33" s="2"/>
      <c r="F33" s="2"/>
      <c r="G33" s="2"/>
      <c r="H33" s="17"/>
      <c r="I33" s="2"/>
      <c r="J33" s="1"/>
      <c r="K33" s="1"/>
      <c r="L33" s="1"/>
      <c r="M33" s="1"/>
    </row>
    <row r="34" spans="3:13" x14ac:dyDescent="0.25">
      <c r="C34" s="1" t="s">
        <v>48</v>
      </c>
      <c r="D34" s="1" t="s">
        <v>48</v>
      </c>
      <c r="E34" s="2"/>
      <c r="F34" s="2"/>
      <c r="G34" s="2"/>
      <c r="H34" s="17"/>
      <c r="I34" s="2"/>
      <c r="J34" s="1"/>
      <c r="K34" s="1"/>
      <c r="L34" s="1"/>
      <c r="M34" s="1"/>
    </row>
    <row r="35" spans="3:13" x14ac:dyDescent="0.25">
      <c r="C35" s="1"/>
      <c r="D35" s="1"/>
      <c r="E35" s="2"/>
      <c r="F35" s="2"/>
      <c r="G35" s="2"/>
      <c r="H35" s="17"/>
      <c r="I35" s="2"/>
      <c r="J35" s="1"/>
      <c r="K35" s="1"/>
      <c r="L35" s="1"/>
      <c r="M35" s="1"/>
    </row>
    <row r="36" spans="3:13" x14ac:dyDescent="0.25">
      <c r="C36" s="1"/>
      <c r="D36" s="1"/>
      <c r="E36" s="2"/>
      <c r="F36" s="2"/>
      <c r="G36" s="2"/>
      <c r="H36" s="17"/>
      <c r="I36" s="2"/>
      <c r="J36" s="1"/>
      <c r="K36" s="1"/>
      <c r="L36" s="1"/>
      <c r="M36" s="1"/>
    </row>
    <row r="37" spans="3:13" x14ac:dyDescent="0.25">
      <c r="C37" s="5" t="s">
        <v>56</v>
      </c>
      <c r="D37" s="1"/>
      <c r="E37" s="2" t="s">
        <v>58</v>
      </c>
      <c r="F37" s="2" t="s">
        <v>59</v>
      </c>
      <c r="G37" s="2"/>
      <c r="H37" s="17"/>
      <c r="I37" s="2"/>
      <c r="J37" s="1"/>
      <c r="K37" s="1"/>
      <c r="L37" s="1"/>
      <c r="M37" s="1"/>
    </row>
    <row r="38" spans="3:13" x14ac:dyDescent="0.25">
      <c r="C38" s="6" t="s">
        <v>118</v>
      </c>
      <c r="D38" s="1" t="s">
        <v>118</v>
      </c>
      <c r="E38" s="2">
        <f>1.6*0.4*СФТК!J30+1</f>
        <v>7.4000000000000012</v>
      </c>
      <c r="F38" s="2">
        <f>1.6*СФТК!J34+1</f>
        <v>7.4</v>
      </c>
      <c r="G38" s="2"/>
      <c r="H38" s="17"/>
      <c r="I38" s="2"/>
      <c r="J38" s="1"/>
      <c r="K38" s="1"/>
      <c r="L38" s="1"/>
      <c r="M38" s="1"/>
    </row>
    <row r="39" spans="3:13" x14ac:dyDescent="0.25">
      <c r="C39" s="6" t="s">
        <v>60</v>
      </c>
      <c r="D39" s="1" t="s">
        <v>60</v>
      </c>
      <c r="E39" s="2">
        <f>E38-1</f>
        <v>6.4000000000000012</v>
      </c>
      <c r="F39" s="2">
        <f>1.6*СФТК!J34</f>
        <v>6.4</v>
      </c>
      <c r="G39" s="2"/>
      <c r="H39" s="17"/>
      <c r="I39" s="2"/>
      <c r="J39" s="1"/>
      <c r="K39" s="1"/>
      <c r="L39" s="1"/>
      <c r="M39" s="1"/>
    </row>
    <row r="40" spans="3:13" x14ac:dyDescent="0.25">
      <c r="C40" s="6" t="s">
        <v>130</v>
      </c>
      <c r="D40" s="1" t="s">
        <v>130</v>
      </c>
      <c r="E40" s="2">
        <f>1.6*0.4*СФТК!J30+1</f>
        <v>7.4000000000000012</v>
      </c>
      <c r="F40" s="2">
        <f>1.6*СФТК!J34+1</f>
        <v>7.4</v>
      </c>
      <c r="G40" s="2"/>
      <c r="H40" s="17"/>
      <c r="I40" s="2"/>
      <c r="J40" s="1"/>
      <c r="K40" s="1"/>
      <c r="L40" s="1"/>
      <c r="M40" s="1"/>
    </row>
    <row r="41" spans="3:13" x14ac:dyDescent="0.25">
      <c r="C41" s="6" t="s">
        <v>131</v>
      </c>
      <c r="D41" s="1" t="s">
        <v>131</v>
      </c>
      <c r="E41" s="2">
        <f>1.6*0.4*СФТК!J30+1</f>
        <v>7.4000000000000012</v>
      </c>
      <c r="F41" s="2">
        <f>1.6*СФТК!J34+1</f>
        <v>7.4</v>
      </c>
      <c r="G41" s="2"/>
      <c r="H41" s="17"/>
      <c r="I41" s="2"/>
      <c r="J41" s="1"/>
      <c r="K41" s="1"/>
      <c r="L41" s="1"/>
      <c r="M41" s="1"/>
    </row>
    <row r="42" spans="3:13" x14ac:dyDescent="0.25">
      <c r="C42" s="6" t="s">
        <v>132</v>
      </c>
      <c r="D42" s="1" t="s">
        <v>132</v>
      </c>
      <c r="E42" s="17">
        <f>1.6*0.4*СФТК!J30+1</f>
        <v>7.4000000000000012</v>
      </c>
      <c r="F42" s="17">
        <f>1.6*СФТК!J34+1</f>
        <v>7.4</v>
      </c>
    </row>
  </sheetData>
  <mergeCells count="4">
    <mergeCell ref="B18:B20"/>
    <mergeCell ref="B21:B23"/>
    <mergeCell ref="B24:B27"/>
    <mergeCell ref="B28:B30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СФТК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2022-03-25T16:21:59Z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0cd760a3-56da-4e09-a234-12f242fa1056</vt:lpwstr>
  </property>
  <property fmtid="{D5CDD505-2E9C-101B-9397-08002B2CF9AE}" pid="8" name="MSIP_Label_ced06422-c515-4a4e-a1f2-e6a0c0200eae_ContentBits">
    <vt:lpwstr>0</vt:lpwstr>
  </property>
</Properties>
</file>