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261E7756-6595-4BC0-B6E0-6C0ADBA17C4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Тёплая мансарда" sheetId="1" state="hidden" r:id="rId1"/>
    <sheet name="Каркасная стена" sheetId="3" r:id="rId2"/>
    <sheet name="Пол и потолок" sheetId="4" state="hidden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B17" i="3"/>
  <c r="J30" i="2"/>
  <c r="J29" i="2"/>
  <c r="B17" i="4"/>
  <c r="B18" i="4" l="1"/>
  <c r="J31" i="2"/>
  <c r="J25" i="2"/>
  <c r="J24" i="2"/>
  <c r="J23" i="2"/>
  <c r="J22" i="2"/>
  <c r="J21" i="2"/>
  <c r="B16" i="3"/>
  <c r="C16" i="3" s="1"/>
  <c r="J27" i="2"/>
  <c r="J26" i="2"/>
  <c r="J20" i="2"/>
  <c r="E18" i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3" l="1"/>
  <c r="M22" i="1"/>
  <c r="C10" i="1"/>
  <c r="B19" i="1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B24" i="3"/>
  <c r="B22" i="3"/>
  <c r="K18" i="3" l="1"/>
  <c r="G18" i="3"/>
  <c r="D18" i="3"/>
  <c r="G17" i="4"/>
  <c r="F20" i="4"/>
  <c r="J20" i="4" s="1"/>
  <c r="F18" i="4"/>
  <c r="J18" i="4" s="1"/>
  <c r="M18" i="4" s="1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F16" i="3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M33" i="3"/>
  <c r="M34" i="3" s="1"/>
  <c r="M24" i="4"/>
  <c r="M25" i="4" s="1"/>
  <c r="M27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M41" i="1" s="1"/>
  <c r="I20" i="1" l="1"/>
</calcChain>
</file>

<file path=xl/sharedStrings.xml><?xml version="1.0" encoding="utf-8"?>
<sst xmlns="http://schemas.openxmlformats.org/spreadsheetml/2006/main" count="339" uniqueCount="134">
  <si>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</si>
  <si>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</si>
  <si>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</si>
  <si>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</si>
  <si>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</si>
  <si>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</si>
  <si>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</si>
  <si>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</si>
  <si>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</si>
  <si>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</si>
  <si>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</si>
  <si>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</si>
  <si>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</si>
  <si>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</si>
  <si>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</si>
  <si>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</si>
  <si>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</si>
  <si>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</si>
  <si>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</si>
  <si>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</si>
  <si>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</si>
  <si>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</si>
  <si>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</si>
  <si>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</si>
  <si>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</si>
  <si>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</si>
  <si>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</si>
  <si>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</si>
  <si>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</si>
  <si>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</si>
  <si>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</si>
  <si>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</si>
  <si>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</si>
  <si>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</si>
  <si>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</si>
  <si>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Подвес</t>
  </si>
  <si>
    <t>по расчёту</t>
  </si>
  <si>
    <t>Грунтовка vetonit prim multi universal (10 л)</t>
  </si>
  <si>
    <t>Шпаклевка для стыков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</si>
  <si>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</si>
  <si>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</si>
  <si>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</si>
  <si>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</si>
  <si>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</si>
  <si>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</si>
  <si>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</si>
  <si>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</si>
  <si>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</si>
  <si>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</si>
  <si>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</si>
  <si>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</si>
  <si>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</si>
  <si>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</si>
  <si>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</si>
  <si>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</si>
  <si>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</si>
  <si>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</si>
  <si>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</si>
  <si>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</si>
  <si>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</si>
  <si>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</si>
  <si>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</si>
  <si>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</si>
  <si>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</si>
  <si>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</si>
  <si>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</si>
  <si>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</si>
  <si>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</si>
  <si>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</si>
  <si>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</si>
  <si>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</si>
  <si>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7 расход скотча</t>
  </si>
  <si>
    <t>Каркасная стена</t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</si>
  <si>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</si>
  <si>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</si>
  <si>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</si>
  <si>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</si>
  <si>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</si>
  <si>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</si>
  <si>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</si>
  <si>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</si>
  <si>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</si>
  <si>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</si>
  <si>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</si>
  <si>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</si>
  <si>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</si>
  <si>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</si>
  <si>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</si>
  <si>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</si>
  <si>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</si>
  <si>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</si>
  <si>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</si>
  <si>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</si>
  <si>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</si>
  <si>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</si>
  <si>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</si>
  <si>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</si>
  <si>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</si>
  <si>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</si>
  <si>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</si>
  <si>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</si>
  <si>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Полы и перекрытие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</si>
  <si>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</si>
  <si>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</si>
  <si>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</si>
  <si>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</si>
  <si>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</si>
  <si>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</si>
  <si>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</si>
  <si>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</si>
  <si>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Калькулятор расчёта системы "Изовер Полы и перекрытия"</t>
  </si>
  <si>
    <t>Полы и Перекрытия</t>
  </si>
  <si>
    <t>Шпаклёвка для стыков ГСП Vetonit (Gyproc) FAST-60 (20 кг)</t>
  </si>
  <si>
    <t>Шпаклёвка для стыков ГСП Vetonit (Gyproc) Superflot (20 кг)</t>
  </si>
  <si>
    <t>ГСП повышенной прочности Vetonit (Gyproc) Стронг (3 м2)</t>
  </si>
  <si>
    <t>ГСП стандартная Vetonit (Gyproc) Оптима (3 м2)</t>
  </si>
  <si>
    <t>ГСП влагостойкая Vetonit (Gyproc) Аква Оптима (3м2)</t>
  </si>
  <si>
    <r>
      <t>ГСП повышенной прочности Vetonit (</t>
    </r>
    <r>
      <rPr>
        <sz val="11"/>
        <color theme="1"/>
        <rFont val="Calibri"/>
        <family val="2"/>
        <scheme val="minor"/>
      </rPr>
      <t>Gyproc) Стронг (3 м2)</t>
    </r>
  </si>
  <si>
    <r>
      <t>ГСП повышенной прочности влагостойкая Vetonit (</t>
    </r>
    <r>
      <rPr>
        <sz val="11"/>
        <color theme="1"/>
        <rFont val="Calibri"/>
        <family val="2"/>
        <scheme val="minor"/>
      </rPr>
      <t>Gyproc) АкваСтронг (3 м2)</t>
    </r>
  </si>
  <si>
    <t>Vetonit (Isover) Подвес Кровельный (уп.=50 шт.)</t>
  </si>
  <si>
    <t>Vetonit (Isover) Тёплая Крыша Стронг</t>
  </si>
  <si>
    <t>Vetonit (Isover) Каркас М34</t>
  </si>
  <si>
    <t>Профиль потолочный Vetonit (Gyproc) Ультра ПП 60/27 (3 мп)</t>
  </si>
  <si>
    <t>Профиль потолочный направляющий Vetonit (Gyproc) Ультра ППН 28/27 (3 мп)</t>
  </si>
  <si>
    <t>Уплотнительная лента Vetonit (Gyproc) Акустик Лента 30 мм (рул.= 30 мп)</t>
  </si>
  <si>
    <t>Лента для стыков ГСП Vetonit (Gyproc) Marco PRO (рул.=50 мп)</t>
  </si>
  <si>
    <t>Гидро-ветрозащитная мембрана Vetonit (Isover) Ветранет АМ (рул.=70 м2)</t>
  </si>
  <si>
    <t>Ветрозащитная плитная обшивка Vetonit (Gyproc) GTS-9 ветрозащитный (3 м2)</t>
  </si>
  <si>
    <t>Паро-Гидроизоляция плленка Vetonit (Isover) Гидранет D рул.=70 м2)</t>
  </si>
  <si>
    <t>Скотч для герметизации стыков Vetonit (Isover) КЛ Паранет (рул.=20мп)</t>
  </si>
  <si>
    <t>ГСП повышенной прочности влагостойкая Vetonit (Gyproc) АкваСтронг (3 м2)</t>
  </si>
  <si>
    <t>Vetonit (Isover) ПРОФИ</t>
  </si>
  <si>
    <t>Пароизоляционная мембрана Vetonit (Isover) Гидранет Д (рул.=70 м2)</t>
  </si>
  <si>
    <t>Скотч для герметизации стыков Vetonit (Isover) КЛ Паранет ДУО (рул.=20мп)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</si>
</sst>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2083874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opLeftCell="A3" zoomScaleNormal="100" zoomScaleSheetLayoutView="70" workbookViewId="0">
      <selection activeCell="B18" sqref="B18"/>
    </sheetView>
  </sheetViews>
  <sheetFormatPr defaultColWidth="8.6640625" defaultRowHeight="14.4" outlineLevelRow="1" outlineLevelCol="1" x14ac:dyDescent="0.3"/>
  <cols>
    <col min="1" max="1" width="32.4414062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10.5546875" style="1" customWidth="1" outlineLevel="1"/>
    <col min="10" max="10" width="6.5546875" style="1" customWidth="1"/>
    <col min="11" max="11" width="7.88671875" style="1" customWidth="1"/>
    <col min="12" max="12" width="8" style="1" bestFit="1" customWidth="1"/>
    <col min="13" max="13" width="14.88671875" style="1" customWidth="1"/>
    <col min="14" max="14" width="31.44140625" style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42.9" customHeight="1" x14ac:dyDescent="0.3">
      <c r="A2" s="139" t="s">
        <v>94</v>
      </c>
      <c r="B2" s="139"/>
      <c r="C2" s="139"/>
      <c r="D2" s="139"/>
      <c r="E2" s="139"/>
      <c r="O2" s="1" t="s">
        <v>78</v>
      </c>
      <c r="P2" s="1">
        <v>4444</v>
      </c>
    </row>
    <row r="3" spans="1:16" x14ac:dyDescent="0.3">
      <c r="A3" s="104" t="s">
        <v>88</v>
      </c>
      <c r="B3" s="17" t="s">
        <v>60</v>
      </c>
      <c r="C3" s="146" t="s">
        <v>90</v>
      </c>
      <c r="D3" s="146"/>
      <c r="E3" s="146"/>
    </row>
    <row r="4" spans="1:16" x14ac:dyDescent="0.3">
      <c r="A4" s="140"/>
      <c r="B4" s="113" t="s">
        <v>59</v>
      </c>
      <c r="C4" s="113"/>
      <c r="D4" s="113"/>
      <c r="E4" s="113"/>
    </row>
    <row r="5" spans="1:16" x14ac:dyDescent="0.3">
      <c r="A5" s="140"/>
      <c r="B5" s="30" t="s">
        <v>61</v>
      </c>
      <c r="C5" s="114">
        <v>200</v>
      </c>
      <c r="D5" s="114"/>
      <c r="E5" s="114"/>
      <c r="F5" s="100"/>
      <c r="G5" s="100"/>
      <c r="H5" s="100"/>
      <c r="I5" s="100"/>
      <c r="J5" s="143" t="s">
        <v>81</v>
      </c>
      <c r="K5" s="143"/>
      <c r="L5" s="143"/>
      <c r="M5" s="143"/>
    </row>
    <row r="6" spans="1:16" x14ac:dyDescent="0.3">
      <c r="A6" s="140"/>
      <c r="B6" s="30" t="s">
        <v>5</v>
      </c>
      <c r="C6" s="149">
        <f>IF(C3="Стандартная","-",C5)</f>
        <v>200</v>
      </c>
      <c r="D6" s="150"/>
      <c r="E6" s="151"/>
      <c r="F6" s="100"/>
      <c r="G6" s="100"/>
      <c r="H6" s="100"/>
      <c r="I6" s="100"/>
      <c r="J6" s="143"/>
      <c r="K6" s="143"/>
      <c r="L6" s="143"/>
      <c r="M6" s="143"/>
    </row>
    <row r="7" spans="1:16" x14ac:dyDescent="0.3">
      <c r="A7" s="140"/>
      <c r="B7" s="113" t="s">
        <v>100</v>
      </c>
      <c r="C7" s="113"/>
      <c r="D7" s="113"/>
      <c r="E7" s="113"/>
    </row>
    <row r="8" spans="1:16" x14ac:dyDescent="0.3">
      <c r="A8" s="140"/>
      <c r="B8" s="30" t="s">
        <v>61</v>
      </c>
      <c r="C8" s="114">
        <v>300</v>
      </c>
      <c r="D8" s="114"/>
      <c r="E8" s="114"/>
      <c r="F8" s="101"/>
      <c r="G8" s="101"/>
      <c r="H8" s="101"/>
      <c r="I8" s="101"/>
      <c r="J8" s="144" t="s">
        <v>82</v>
      </c>
      <c r="K8" s="144"/>
      <c r="L8" s="144"/>
      <c r="M8" s="144"/>
    </row>
    <row r="9" spans="1:16" x14ac:dyDescent="0.3">
      <c r="A9" s="140"/>
      <c r="B9" s="30" t="s">
        <v>62</v>
      </c>
      <c r="C9" s="152">
        <v>200</v>
      </c>
      <c r="D9" s="153"/>
      <c r="E9" s="154"/>
      <c r="F9" s="101"/>
      <c r="G9" s="101"/>
      <c r="H9" s="101"/>
      <c r="I9" s="101"/>
      <c r="J9" s="144" t="s">
        <v>83</v>
      </c>
      <c r="K9" s="144"/>
      <c r="L9" s="144"/>
      <c r="M9" s="144"/>
    </row>
    <row r="10" spans="1:16" x14ac:dyDescent="0.3">
      <c r="A10" s="104" t="s">
        <v>89</v>
      </c>
      <c r="B10" s="30" t="s">
        <v>58</v>
      </c>
      <c r="C10" s="147">
        <f>IF(C3="Оптимальная",C8-C9,0)</f>
        <v>100</v>
      </c>
      <c r="D10" s="147"/>
      <c r="E10" s="147"/>
      <c r="F10" s="101"/>
      <c r="G10" s="101"/>
      <c r="H10" s="101"/>
      <c r="I10" s="101"/>
      <c r="J10" s="145" t="s">
        <v>84</v>
      </c>
      <c r="K10" s="145"/>
      <c r="L10" s="145"/>
      <c r="M10" s="145"/>
    </row>
    <row r="11" spans="1:16" x14ac:dyDescent="0.3">
      <c r="A11" s="141"/>
      <c r="B11" s="30" t="s">
        <v>63</v>
      </c>
      <c r="C11" s="148">
        <v>100</v>
      </c>
      <c r="D11" s="148"/>
      <c r="E11" s="148"/>
      <c r="F11" s="101"/>
      <c r="G11" s="101"/>
      <c r="H11" s="101"/>
      <c r="I11" s="101"/>
      <c r="J11" s="144" t="s">
        <v>85</v>
      </c>
      <c r="K11" s="144"/>
      <c r="L11" s="144"/>
      <c r="M11" s="144"/>
    </row>
    <row r="12" spans="1:16" ht="15" thickBot="1" x14ac:dyDescent="0.35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" thickBot="1" x14ac:dyDescent="0.35">
      <c r="A13" s="141"/>
      <c r="B13" s="126" t="s">
        <v>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6" ht="27.6" x14ac:dyDescent="0.3">
      <c r="A14" s="141"/>
      <c r="B14" s="20" t="s">
        <v>12</v>
      </c>
      <c r="C14" s="21" t="s">
        <v>19</v>
      </c>
      <c r="D14" s="21" t="s">
        <v>22</v>
      </c>
      <c r="E14" s="22" t="s">
        <v>20</v>
      </c>
      <c r="F14" s="27" t="s">
        <v>13</v>
      </c>
      <c r="G14" s="21" t="s">
        <v>21</v>
      </c>
      <c r="H14" s="21" t="s">
        <v>51</v>
      </c>
      <c r="I14" s="25" t="s">
        <v>52</v>
      </c>
      <c r="J14" s="20" t="s">
        <v>13</v>
      </c>
      <c r="K14" s="21" t="s">
        <v>21</v>
      </c>
      <c r="L14" s="21" t="s">
        <v>51</v>
      </c>
      <c r="M14" s="22" t="s">
        <v>52</v>
      </c>
    </row>
    <row r="15" spans="1:16" x14ac:dyDescent="0.3">
      <c r="A15" s="141"/>
      <c r="B15" s="132"/>
      <c r="C15" s="130"/>
      <c r="D15" s="130"/>
      <c r="E15" s="133"/>
      <c r="F15" s="129" t="s">
        <v>53</v>
      </c>
      <c r="G15" s="130"/>
      <c r="H15" s="130"/>
      <c r="I15" s="131"/>
      <c r="J15" s="132" t="s">
        <v>54</v>
      </c>
      <c r="K15" s="130"/>
      <c r="L15" s="130"/>
      <c r="M15" s="133"/>
    </row>
    <row r="16" spans="1:16" x14ac:dyDescent="0.3">
      <c r="A16" s="141"/>
      <c r="B16" s="115" t="s">
        <v>11</v>
      </c>
      <c r="C16" s="116"/>
      <c r="D16" s="116"/>
      <c r="E16" s="117"/>
      <c r="F16" s="137"/>
      <c r="G16" s="116"/>
      <c r="H16" s="116"/>
      <c r="I16" s="138"/>
      <c r="J16" s="115"/>
      <c r="K16" s="116"/>
      <c r="L16" s="116"/>
      <c r="M16" s="117"/>
    </row>
    <row r="17" spans="1:14" ht="27.6" x14ac:dyDescent="0.3">
      <c r="B17" s="28" t="s">
        <v>126</v>
      </c>
      <c r="C17" s="11">
        <v>1.1000000000000001</v>
      </c>
      <c r="D17" s="11" t="s">
        <v>23</v>
      </c>
      <c r="E17" s="29" t="s">
        <v>24</v>
      </c>
      <c r="F17" s="19">
        <f>C17*$C11</f>
        <v>110.00000000000001</v>
      </c>
      <c r="G17" s="11" t="s">
        <v>25</v>
      </c>
      <c r="H17" s="31">
        <v>0</v>
      </c>
      <c r="I17" s="26">
        <f>H17*F17</f>
        <v>0</v>
      </c>
      <c r="J17" s="23">
        <f>ROUNDUP(F17/70,0)</f>
        <v>2</v>
      </c>
      <c r="K17" s="11" t="s">
        <v>26</v>
      </c>
      <c r="L17" s="31">
        <v>0</v>
      </c>
      <c r="M17" s="24">
        <f>L17*J17</f>
        <v>0</v>
      </c>
    </row>
    <row r="18" spans="1:14" x14ac:dyDescent="0.3">
      <c r="A18" s="103" t="s">
        <v>80</v>
      </c>
      <c r="B18" s="91" t="s">
        <v>120</v>
      </c>
      <c r="C18" s="11">
        <v>1.03</v>
      </c>
      <c r="D18" s="11" t="s">
        <v>23</v>
      </c>
      <c r="E18" s="29">
        <f>IF(C3="Оптимальная",C9,C5)</f>
        <v>200</v>
      </c>
      <c r="F18" s="19">
        <f>C18*$C11</f>
        <v>103</v>
      </c>
      <c r="G18" s="11" t="s">
        <v>25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27</v>
      </c>
      <c r="L18" s="31">
        <v>0</v>
      </c>
      <c r="M18" s="24">
        <f>L18*J18</f>
        <v>0</v>
      </c>
    </row>
    <row r="19" spans="1:14" x14ac:dyDescent="0.3">
      <c r="B19" s="33" t="str">
        <f>B18 &amp; "(доутепление)"</f>
        <v>Vetonit (Isover)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0</v>
      </c>
      <c r="M19" s="40">
        <f>IF($C$3="Оптимальная",L19*J19,"0.00р.")</f>
        <v>0</v>
      </c>
      <c r="N19" s="112" t="s">
        <v>93</v>
      </c>
    </row>
    <row r="20" spans="1:14" x14ac:dyDescent="0.3">
      <c r="B20" s="33" t="s">
        <v>64</v>
      </c>
      <c r="C20" s="34">
        <f>IF(C10&gt;0,4,0)</f>
        <v>4</v>
      </c>
      <c r="D20" s="34" t="str">
        <f>IF(C10&gt;0,"шт./м2","-")</f>
        <v>шт./м2</v>
      </c>
      <c r="E20" s="35" t="s">
        <v>24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0</v>
      </c>
      <c r="M20" s="40">
        <f>L20*J20</f>
        <v>0</v>
      </c>
      <c r="N20" s="112"/>
    </row>
    <row r="21" spans="1:14" ht="27.6" x14ac:dyDescent="0.3">
      <c r="B21" s="28" t="s">
        <v>132</v>
      </c>
      <c r="C21" s="11">
        <v>1.1000000000000001</v>
      </c>
      <c r="D21" s="11" t="s">
        <v>23</v>
      </c>
      <c r="E21" s="29" t="s">
        <v>24</v>
      </c>
      <c r="F21" s="19">
        <f>C21*$C11</f>
        <v>110.00000000000001</v>
      </c>
      <c r="G21" s="11" t="s">
        <v>25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26</v>
      </c>
      <c r="L21" s="31">
        <v>0</v>
      </c>
      <c r="M21" s="24">
        <f>L21*J21</f>
        <v>0</v>
      </c>
    </row>
    <row r="22" spans="1:14" ht="27.6" x14ac:dyDescent="0.3">
      <c r="B22" s="28" t="s">
        <v>133</v>
      </c>
      <c r="C22" s="11">
        <v>2.8</v>
      </c>
      <c r="D22" s="11" t="s">
        <v>30</v>
      </c>
      <c r="E22" s="29" t="s">
        <v>24</v>
      </c>
      <c r="F22" s="19">
        <f>C22*$C11</f>
        <v>280</v>
      </c>
      <c r="G22" s="11" t="s">
        <v>31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26</v>
      </c>
      <c r="L22" s="31">
        <v>0</v>
      </c>
      <c r="M22" s="24">
        <f>L22*J22</f>
        <v>0</v>
      </c>
    </row>
    <row r="23" spans="1:14" ht="27.6" x14ac:dyDescent="0.3">
      <c r="B23" s="28" t="s">
        <v>105</v>
      </c>
      <c r="C23" s="11">
        <f>0.42*0.2</f>
        <v>8.4000000000000005E-2</v>
      </c>
      <c r="D23" s="11" t="s">
        <v>32</v>
      </c>
      <c r="E23" s="29" t="s">
        <v>24</v>
      </c>
      <c r="F23" s="19">
        <f>C23*$C11</f>
        <v>8.4</v>
      </c>
      <c r="G23" s="11" t="s">
        <v>33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106</v>
      </c>
      <c r="L23" s="31">
        <v>0</v>
      </c>
      <c r="M23" s="24">
        <f>L23*J23</f>
        <v>0</v>
      </c>
    </row>
    <row r="24" spans="1:14" outlineLevel="1" x14ac:dyDescent="0.3">
      <c r="B24" s="115" t="s">
        <v>91</v>
      </c>
      <c r="C24" s="116"/>
      <c r="D24" s="116"/>
      <c r="E24" s="117"/>
      <c r="F24" s="118"/>
      <c r="G24" s="119"/>
      <c r="H24" s="119"/>
      <c r="I24" s="120"/>
      <c r="J24" s="121"/>
      <c r="K24" s="119"/>
      <c r="L24" s="119"/>
      <c r="M24" s="122"/>
    </row>
    <row r="25" spans="1:14" outlineLevel="1" x14ac:dyDescent="0.3">
      <c r="A25" s="103" t="s">
        <v>80</v>
      </c>
      <c r="B25" s="93" t="s">
        <v>116</v>
      </c>
      <c r="C25" s="41">
        <f>IF(C3="Оптимальная",'База данных'!M3,"-")</f>
        <v>1</v>
      </c>
      <c r="D25" s="41" t="s">
        <v>23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25</v>
      </c>
      <c r="H25" s="45">
        <v>0</v>
      </c>
      <c r="I25" s="46">
        <f>H25*F25</f>
        <v>0</v>
      </c>
      <c r="J25" s="47">
        <f>ROUNDUP(F25/3,0)</f>
        <v>34</v>
      </c>
      <c r="K25" s="44" t="s">
        <v>29</v>
      </c>
      <c r="L25" s="48">
        <v>0</v>
      </c>
      <c r="M25" s="40">
        <f>IF($C$3="Оптимальная",L25*J25,"0")</f>
        <v>0</v>
      </c>
      <c r="N25" s="112" t="s">
        <v>93</v>
      </c>
    </row>
    <row r="26" spans="1:14" ht="15.9" customHeight="1" outlineLevel="1" x14ac:dyDescent="0.3">
      <c r="B26" s="33" t="s">
        <v>122</v>
      </c>
      <c r="C26" s="41">
        <f>IF(C3="Оптимальная",'База данных'!N3,"-")</f>
        <v>2</v>
      </c>
      <c r="D26" s="41" t="s">
        <v>30</v>
      </c>
      <c r="E26" s="49" t="s">
        <v>24</v>
      </c>
      <c r="F26" s="50">
        <f>IF(C3="Оптимальная",C26*C11,"0")</f>
        <v>200</v>
      </c>
      <c r="G26" s="41" t="s">
        <v>31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29</v>
      </c>
      <c r="L26" s="48">
        <v>0</v>
      </c>
      <c r="M26" s="40">
        <f>IF($C$3="Оптимальная",L26*J26,"0")</f>
        <v>0</v>
      </c>
      <c r="N26" s="112"/>
    </row>
    <row r="27" spans="1:14" ht="27.6" outlineLevel="1" x14ac:dyDescent="0.3">
      <c r="B27" s="33" t="s">
        <v>123</v>
      </c>
      <c r="C27" s="41">
        <f>IF(C3="Оптимальная",'База данных'!O3,"-")</f>
        <v>1.1000000000000001</v>
      </c>
      <c r="D27" s="41" t="s">
        <v>30</v>
      </c>
      <c r="E27" s="49" t="s">
        <v>24</v>
      </c>
      <c r="F27" s="50">
        <f>IF(C3="Оптимальная",C27*C11,"0")</f>
        <v>110.00000000000001</v>
      </c>
      <c r="G27" s="41" t="s">
        <v>31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29</v>
      </c>
      <c r="L27" s="48">
        <v>0</v>
      </c>
      <c r="M27" s="40">
        <f>IF($C$3="Оптимальная",L27*J27,"0")</f>
        <v>0</v>
      </c>
      <c r="N27" s="112"/>
    </row>
    <row r="28" spans="1:14" outlineLevel="1" x14ac:dyDescent="0.3">
      <c r="B28" s="33" t="s">
        <v>17</v>
      </c>
      <c r="C28" s="41" t="str">
        <f>IF(C3="Оптимальная",'База данных'!Q3,"-")</f>
        <v>по расчёту</v>
      </c>
      <c r="D28" s="41" t="s">
        <v>28</v>
      </c>
      <c r="E28" s="49" t="s">
        <v>24</v>
      </c>
      <c r="F28" s="50"/>
      <c r="G28" s="41" t="s">
        <v>29</v>
      </c>
      <c r="H28" s="48">
        <v>0</v>
      </c>
      <c r="I28" s="46">
        <f t="shared" si="1"/>
        <v>0</v>
      </c>
      <c r="J28" s="134" t="s">
        <v>24</v>
      </c>
      <c r="K28" s="135"/>
      <c r="L28" s="135"/>
      <c r="M28" s="136"/>
      <c r="N28" s="112"/>
    </row>
    <row r="29" spans="1:14" outlineLevel="1" x14ac:dyDescent="0.3">
      <c r="B29" s="33" t="s">
        <v>18</v>
      </c>
      <c r="C29" s="41" t="str">
        <f>IF(C3="Оптимальная",'База данных'!R3,"-")</f>
        <v>по расчёту</v>
      </c>
      <c r="D29" s="41" t="s">
        <v>28</v>
      </c>
      <c r="E29" s="49" t="s">
        <v>24</v>
      </c>
      <c r="F29" s="50"/>
      <c r="G29" s="41" t="s">
        <v>29</v>
      </c>
      <c r="H29" s="48">
        <v>0</v>
      </c>
      <c r="I29" s="46">
        <f t="shared" si="1"/>
        <v>0</v>
      </c>
      <c r="J29" s="134" t="s">
        <v>24</v>
      </c>
      <c r="K29" s="135"/>
      <c r="L29" s="135"/>
      <c r="M29" s="136"/>
      <c r="N29" s="112"/>
    </row>
    <row r="30" spans="1:14" ht="27.6" outlineLevel="1" x14ac:dyDescent="0.3">
      <c r="B30" s="33" t="s">
        <v>124</v>
      </c>
      <c r="C30" s="41">
        <f>IF(C3="Оптимальная",'База данных'!O3,"-")</f>
        <v>1.1000000000000001</v>
      </c>
      <c r="D30" s="41" t="s">
        <v>30</v>
      </c>
      <c r="E30" s="49" t="s">
        <v>24</v>
      </c>
      <c r="F30" s="50">
        <f>IF(C3="Оптимальная",C30*C11,"0")</f>
        <v>110.00000000000001</v>
      </c>
      <c r="G30" s="41" t="s">
        <v>31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26</v>
      </c>
      <c r="L30" s="48">
        <v>0</v>
      </c>
      <c r="M30" s="40">
        <f>IF($C$3="Оптимальная",L30*J30,"0")</f>
        <v>0</v>
      </c>
      <c r="N30" s="112"/>
    </row>
    <row r="31" spans="1:14" outlineLevel="1" x14ac:dyDescent="0.3">
      <c r="B31" s="115" t="s">
        <v>92</v>
      </c>
      <c r="C31" s="116"/>
      <c r="D31" s="116"/>
      <c r="E31" s="117"/>
      <c r="F31" s="118"/>
      <c r="G31" s="119"/>
      <c r="H31" s="119"/>
      <c r="I31" s="120"/>
      <c r="J31" s="121"/>
      <c r="K31" s="119"/>
      <c r="L31" s="119"/>
      <c r="M31" s="122"/>
    </row>
    <row r="32" spans="1:14" outlineLevel="1" x14ac:dyDescent="0.3">
      <c r="B32" s="33" t="s">
        <v>37</v>
      </c>
      <c r="C32" s="41">
        <f>IF(C3="Оптимальная",'База данных'!M9,"-")</f>
        <v>0.2</v>
      </c>
      <c r="D32" s="41" t="s">
        <v>32</v>
      </c>
      <c r="E32" s="49" t="s">
        <v>24</v>
      </c>
      <c r="F32" s="50">
        <f>IF($C$3="Оптимальная",C32*$C$11,"0")</f>
        <v>20</v>
      </c>
      <c r="G32" s="41" t="s">
        <v>33</v>
      </c>
      <c r="H32" s="48">
        <v>0</v>
      </c>
      <c r="I32" s="51">
        <f>H32*F32</f>
        <v>0</v>
      </c>
      <c r="J32" s="52">
        <f>ROUNDUP(F32/10,0)</f>
        <v>2</v>
      </c>
      <c r="K32" s="41" t="s">
        <v>43</v>
      </c>
      <c r="L32" s="48">
        <v>0</v>
      </c>
      <c r="M32" s="40">
        <f>IF($C$3="Оптимальная",L32*J32,"0")</f>
        <v>0</v>
      </c>
      <c r="N32" s="112" t="s">
        <v>93</v>
      </c>
    </row>
    <row r="33" spans="2:14" outlineLevel="1" x14ac:dyDescent="0.3">
      <c r="B33" s="33" t="s">
        <v>113</v>
      </c>
      <c r="C33" s="41">
        <f>IF(C3="Оптимальная",'База данных'!N9,"-")</f>
        <v>0.3</v>
      </c>
      <c r="D33" s="41" t="s">
        <v>40</v>
      </c>
      <c r="E33" s="49" t="s">
        <v>24</v>
      </c>
      <c r="F33" s="50">
        <f>IF($C$3="Оптимальная",C33*$C$11,"0")</f>
        <v>30</v>
      </c>
      <c r="G33" s="41" t="s">
        <v>42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44</v>
      </c>
      <c r="L33" s="48">
        <v>0</v>
      </c>
      <c r="M33" s="40">
        <f>IF($C$3="Оптимальная",L33*J33,"0")</f>
        <v>0</v>
      </c>
      <c r="N33" s="112"/>
    </row>
    <row r="34" spans="2:14" ht="27.6" outlineLevel="1" x14ac:dyDescent="0.3">
      <c r="B34" s="33" t="s">
        <v>125</v>
      </c>
      <c r="C34" s="41">
        <f>IF(C3="Оптимальная",'База данных'!O9,"-")</f>
        <v>0.9</v>
      </c>
      <c r="D34" s="41" t="s">
        <v>30</v>
      </c>
      <c r="E34" s="49" t="s">
        <v>24</v>
      </c>
      <c r="F34" s="50">
        <f>IF($C$3="Оптимальная",C34*$C$11,"0")</f>
        <v>90</v>
      </c>
      <c r="G34" s="41" t="s">
        <v>31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26</v>
      </c>
      <c r="L34" s="48">
        <v>0</v>
      </c>
      <c r="M34" s="40">
        <f>IF($C$3="Оптимальная",L34*J34,"0")</f>
        <v>0</v>
      </c>
      <c r="N34" s="112"/>
    </row>
    <row r="35" spans="2:14" ht="15" outlineLevel="1" thickBot="1" x14ac:dyDescent="0.35">
      <c r="B35" s="55" t="s">
        <v>39</v>
      </c>
      <c r="C35" s="56">
        <f>IF(C3="Оптимальная",'База данных'!P9,"-")</f>
        <v>1</v>
      </c>
      <c r="D35" s="56" t="s">
        <v>41</v>
      </c>
      <c r="E35" s="94">
        <v>1</v>
      </c>
      <c r="F35" s="57">
        <f>IF($C$3="Оптимальная",C35*$C$11,"0")</f>
        <v>100</v>
      </c>
      <c r="G35" s="56" t="s">
        <v>42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45</v>
      </c>
      <c r="L35" s="63">
        <v>0</v>
      </c>
      <c r="M35" s="64">
        <f>IF($C$3="Оптимальная",L35*J35,"0")</f>
        <v>0</v>
      </c>
      <c r="N35" s="112"/>
    </row>
    <row r="36" spans="2:14" ht="15" thickBot="1" x14ac:dyDescent="0.35">
      <c r="J36" s="123" t="s">
        <v>55</v>
      </c>
      <c r="K36" s="124"/>
      <c r="L36" s="124"/>
      <c r="M36" s="65">
        <f>M17+M18+M19+M21+M22+M25+M26+M27+M30+M32+M33+M34+M35+M23</f>
        <v>0</v>
      </c>
      <c r="N36" s="54"/>
    </row>
    <row r="37" spans="2:14" x14ac:dyDescent="0.3">
      <c r="J37" s="125" t="s">
        <v>48</v>
      </c>
      <c r="K37" s="125"/>
      <c r="L37" s="125"/>
      <c r="M37" s="32">
        <v>50</v>
      </c>
      <c r="N37" s="3"/>
    </row>
    <row r="38" spans="2:14" x14ac:dyDescent="0.3">
      <c r="J38" s="110" t="s">
        <v>56</v>
      </c>
      <c r="K38" s="110"/>
      <c r="L38" s="110"/>
      <c r="M38" s="60">
        <f>M36*M37/100</f>
        <v>0</v>
      </c>
    </row>
    <row r="39" spans="2:14" x14ac:dyDescent="0.3">
      <c r="I39" s="110" t="s">
        <v>57</v>
      </c>
      <c r="J39" s="110"/>
      <c r="K39" s="110"/>
      <c r="L39" s="110"/>
      <c r="M39" s="60">
        <f>M36-M38</f>
        <v>0</v>
      </c>
    </row>
    <row r="40" spans="2:14" x14ac:dyDescent="0.3">
      <c r="J40" s="110" t="s">
        <v>103</v>
      </c>
      <c r="K40" s="110"/>
      <c r="L40" s="110"/>
      <c r="M40" s="108">
        <v>0</v>
      </c>
    </row>
    <row r="41" spans="2:14" x14ac:dyDescent="0.3">
      <c r="J41" s="111" t="s">
        <v>104</v>
      </c>
      <c r="K41" s="111"/>
      <c r="L41" s="111"/>
      <c r="M41" s="109">
        <f>SUM(M39+M40)</f>
        <v>0</v>
      </c>
    </row>
  </sheetData>
  <sheetProtection formatCells="0" formatColumns="0" formatRows="0" insertColumns="0" insertRows="0" deleteColumns="0" deleteRows="0"/>
  <mergeCells count="42"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I39:L39"/>
    <mergeCell ref="J40:L40"/>
    <mergeCell ref="J41:L41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abSelected="1" topLeftCell="A2" zoomScaleNormal="100" zoomScaleSheetLayoutView="70" workbookViewId="0">
      <selection activeCell="B17" sqref="B17"/>
    </sheetView>
  </sheetViews>
  <sheetFormatPr defaultColWidth="8.6640625" defaultRowHeight="14.4" outlineLevelRow="1" outlineLevelCol="1" x14ac:dyDescent="0.3"/>
  <cols>
    <col min="1" max="1" width="3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8.5546875" style="1" bestFit="1" customWidth="1"/>
    <col min="13" max="13" width="13.6640625" style="1" bestFit="1" customWidth="1"/>
    <col min="14" max="14" width="15" style="1" bestFit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35.1" customHeight="1" x14ac:dyDescent="0.7">
      <c r="A2" s="159" t="s">
        <v>86</v>
      </c>
      <c r="B2" s="159"/>
      <c r="C2" s="159"/>
      <c r="D2" s="159"/>
      <c r="E2" s="159"/>
    </row>
    <row r="3" spans="1:16" x14ac:dyDescent="0.3">
      <c r="A3" s="104" t="s">
        <v>96</v>
      </c>
      <c r="B3" s="17" t="s">
        <v>60</v>
      </c>
      <c r="C3" s="146" t="s">
        <v>90</v>
      </c>
      <c r="D3" s="146"/>
      <c r="E3" s="146"/>
      <c r="O3" s="1" t="s">
        <v>78</v>
      </c>
      <c r="P3" s="1">
        <v>4444</v>
      </c>
    </row>
    <row r="4" spans="1:16" x14ac:dyDescent="0.3">
      <c r="A4" s="102"/>
      <c r="B4" s="113" t="s">
        <v>65</v>
      </c>
      <c r="C4" s="113"/>
      <c r="D4" s="113"/>
      <c r="E4" s="113"/>
    </row>
    <row r="5" spans="1:16" x14ac:dyDescent="0.3">
      <c r="A5" s="102"/>
      <c r="B5" s="30" t="s">
        <v>61</v>
      </c>
      <c r="C5" s="114">
        <v>250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6" ht="28.8" x14ac:dyDescent="0.3">
      <c r="A6" s="102"/>
      <c r="B6" s="30" t="s">
        <v>102</v>
      </c>
      <c r="C6" s="152">
        <v>200</v>
      </c>
      <c r="D6" s="153"/>
      <c r="E6" s="154"/>
      <c r="F6" s="101"/>
      <c r="G6" s="101"/>
      <c r="H6" s="101"/>
      <c r="I6" s="101"/>
      <c r="J6" s="144" t="s">
        <v>83</v>
      </c>
      <c r="K6" s="144"/>
      <c r="L6" s="144"/>
      <c r="M6" s="144"/>
    </row>
    <row r="7" spans="1:16" x14ac:dyDescent="0.3">
      <c r="A7" s="102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6" x14ac:dyDescent="0.3">
      <c r="A8" s="102"/>
      <c r="B8" s="30" t="s">
        <v>66</v>
      </c>
      <c r="C8" s="148">
        <v>100</v>
      </c>
      <c r="D8" s="148"/>
      <c r="E8" s="148"/>
      <c r="F8" s="101"/>
      <c r="G8" s="101"/>
      <c r="H8" s="101"/>
      <c r="I8" s="101"/>
      <c r="J8" s="144" t="s">
        <v>87</v>
      </c>
      <c r="K8" s="144"/>
      <c r="L8" s="144"/>
      <c r="M8" s="144"/>
    </row>
    <row r="9" spans="1:16" x14ac:dyDescent="0.3">
      <c r="A9" s="10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x14ac:dyDescent="0.3">
      <c r="A10" s="104" t="s">
        <v>95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6" ht="15" thickBot="1" x14ac:dyDescent="0.35">
      <c r="A11" s="141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6" ht="15" thickBot="1" x14ac:dyDescent="0.35">
      <c r="A12" s="141"/>
      <c r="B12" s="126" t="s">
        <v>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6" ht="31.5" customHeight="1" x14ac:dyDescent="0.3">
      <c r="A13" s="141"/>
      <c r="B13" s="20" t="s">
        <v>12</v>
      </c>
      <c r="C13" s="21" t="s">
        <v>19</v>
      </c>
      <c r="D13" s="21" t="s">
        <v>22</v>
      </c>
      <c r="E13" s="25" t="s">
        <v>20</v>
      </c>
      <c r="F13" s="20" t="s">
        <v>13</v>
      </c>
      <c r="G13" s="21" t="s">
        <v>21</v>
      </c>
      <c r="H13" s="21" t="s">
        <v>51</v>
      </c>
      <c r="I13" s="22" t="s">
        <v>52</v>
      </c>
      <c r="J13" s="20" t="s">
        <v>13</v>
      </c>
      <c r="K13" s="21" t="s">
        <v>21</v>
      </c>
      <c r="L13" s="21" t="s">
        <v>51</v>
      </c>
      <c r="M13" s="22" t="s">
        <v>52</v>
      </c>
    </row>
    <row r="14" spans="1:16" x14ac:dyDescent="0.3">
      <c r="A14" s="141"/>
      <c r="B14" s="132"/>
      <c r="C14" s="130"/>
      <c r="D14" s="130"/>
      <c r="E14" s="131"/>
      <c r="F14" s="132" t="s">
        <v>53</v>
      </c>
      <c r="G14" s="130"/>
      <c r="H14" s="130"/>
      <c r="I14" s="133"/>
      <c r="J14" s="132" t="s">
        <v>54</v>
      </c>
      <c r="K14" s="130"/>
      <c r="L14" s="130"/>
      <c r="M14" s="133"/>
    </row>
    <row r="15" spans="1:16" x14ac:dyDescent="0.3">
      <c r="A15" s="141"/>
      <c r="B15" s="115" t="s">
        <v>72</v>
      </c>
      <c r="C15" s="116"/>
      <c r="D15" s="116"/>
      <c r="E15" s="138"/>
      <c r="F15" s="115"/>
      <c r="G15" s="116"/>
      <c r="H15" s="116"/>
      <c r="I15" s="117"/>
      <c r="J15" s="115"/>
      <c r="K15" s="116"/>
      <c r="L15" s="116"/>
      <c r="M15" s="117"/>
    </row>
    <row r="16" spans="1:16" ht="27.6" x14ac:dyDescent="0.3">
      <c r="A16" s="141"/>
      <c r="B16" s="28" t="str">
        <f>IF(C3="Базовая","Гидро-ветрозащитная мембрана Vetonit (Isover) Ветранет АМ (рул.=70 м2)","Ветрозащитная плитная обшивка Vetonit (Gyproc) GTS-9 ветрозащитный (3 м2)")</f>
        <v>Ветрозащитная плитная обшивка Vetonit (Gyproc)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25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0</v>
      </c>
      <c r="M16" s="24">
        <f>L16*J16</f>
        <v>0</v>
      </c>
    </row>
    <row r="17" spans="1:14" x14ac:dyDescent="0.3">
      <c r="A17" s="103" t="s">
        <v>80</v>
      </c>
      <c r="B17" s="28" t="str">
        <f>IF(C3="Базовая","Vetonit (Isover) Теплые стены Стронг","Vetonit (Isover) Каркас П34 565 мм")</f>
        <v>Vetonit (Isover) Каркас П34 565 мм</v>
      </c>
      <c r="C17" s="11">
        <v>1.05</v>
      </c>
      <c r="D17" s="11" t="s">
        <v>23</v>
      </c>
      <c r="E17" s="77">
        <f>C6</f>
        <v>200</v>
      </c>
      <c r="F17" s="23">
        <f>C17*$C8</f>
        <v>105</v>
      </c>
      <c r="G17" s="11" t="s">
        <v>25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27</v>
      </c>
      <c r="L17" s="31">
        <v>0</v>
      </c>
      <c r="M17" s="24">
        <f>L17*J17</f>
        <v>0</v>
      </c>
    </row>
    <row r="18" spans="1:14" x14ac:dyDescent="0.3">
      <c r="B18" s="28" t="str">
        <f>B17 &amp; "(доутепление)"</f>
        <v>Vetonit (Isover)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0</v>
      </c>
      <c r="M18" s="24">
        <f>L18*J18</f>
        <v>0</v>
      </c>
      <c r="N18" s="53"/>
    </row>
    <row r="19" spans="1:14" ht="25.5" customHeight="1" x14ac:dyDescent="0.3">
      <c r="B19" s="28" t="s">
        <v>128</v>
      </c>
      <c r="C19" s="11">
        <v>1.1000000000000001</v>
      </c>
      <c r="D19" s="11" t="s">
        <v>23</v>
      </c>
      <c r="E19" s="77" t="s">
        <v>24</v>
      </c>
      <c r="F19" s="23">
        <f>C19*$C8</f>
        <v>110.00000000000001</v>
      </c>
      <c r="G19" s="11" t="s">
        <v>25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26</v>
      </c>
      <c r="L19" s="31">
        <v>0</v>
      </c>
      <c r="M19" s="24">
        <f>L19*J19</f>
        <v>0</v>
      </c>
    </row>
    <row r="20" spans="1:14" ht="27.6" x14ac:dyDescent="0.3">
      <c r="B20" s="28" t="s">
        <v>129</v>
      </c>
      <c r="C20" s="11">
        <f>VLOOKUP(B16,'База данных'!L19:R21,7,0)</f>
        <v>1.1000000000000001</v>
      </c>
      <c r="D20" s="11" t="s">
        <v>30</v>
      </c>
      <c r="E20" s="77" t="s">
        <v>24</v>
      </c>
      <c r="F20" s="23">
        <f>C20*$C8</f>
        <v>110.00000000000001</v>
      </c>
      <c r="G20" s="11" t="s">
        <v>31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26</v>
      </c>
      <c r="L20" s="31">
        <v>0</v>
      </c>
      <c r="M20" s="24">
        <f>L20*J20</f>
        <v>0</v>
      </c>
    </row>
    <row r="21" spans="1:14" ht="27.6" x14ac:dyDescent="0.3">
      <c r="B21" s="28" t="s">
        <v>16</v>
      </c>
      <c r="C21" s="11">
        <v>0.1</v>
      </c>
      <c r="D21" s="11" t="s">
        <v>32</v>
      </c>
      <c r="E21" s="77" t="s">
        <v>24</v>
      </c>
      <c r="F21" s="23">
        <f>C21*$C8</f>
        <v>10</v>
      </c>
      <c r="G21" s="11" t="s">
        <v>33</v>
      </c>
      <c r="H21" s="31">
        <v>0</v>
      </c>
      <c r="I21" s="24">
        <f>H21*F21</f>
        <v>0</v>
      </c>
      <c r="J21" s="23">
        <f>ROUNDUP(F21/0.5,0)</f>
        <v>20</v>
      </c>
      <c r="K21" s="11" t="s">
        <v>106</v>
      </c>
      <c r="L21" s="107">
        <v>0</v>
      </c>
      <c r="M21" s="24">
        <f>J21*L21</f>
        <v>0</v>
      </c>
    </row>
    <row r="22" spans="1:14" outlineLevel="1" x14ac:dyDescent="0.3">
      <c r="B22" s="115" t="str">
        <f>"Отделка ГСП Gyproc"&amp;IF(C3="Базовая","(Опционально)",)</f>
        <v>Отделка ГСП Gyproc</v>
      </c>
      <c r="C22" s="116"/>
      <c r="D22" s="116"/>
      <c r="E22" s="138"/>
      <c r="F22" s="121"/>
      <c r="G22" s="119"/>
      <c r="H22" s="119"/>
      <c r="I22" s="122"/>
      <c r="J22" s="121"/>
      <c r="K22" s="119"/>
      <c r="L22" s="119"/>
      <c r="M22" s="122"/>
    </row>
    <row r="23" spans="1:14" ht="27.6" outlineLevel="1" x14ac:dyDescent="0.3">
      <c r="A23" s="103" t="s">
        <v>80</v>
      </c>
      <c r="B23" s="91" t="s">
        <v>130</v>
      </c>
      <c r="C23" s="68">
        <v>1</v>
      </c>
      <c r="D23" s="68" t="s">
        <v>23</v>
      </c>
      <c r="E23" s="78">
        <f>VLOOKUP(B23,Таблица256[],2,0)</f>
        <v>15</v>
      </c>
      <c r="F23" s="71">
        <f>C23*C8</f>
        <v>100</v>
      </c>
      <c r="G23" s="69" t="s">
        <v>25</v>
      </c>
      <c r="H23" s="70">
        <v>0</v>
      </c>
      <c r="I23" s="80">
        <f>H23*F23</f>
        <v>0</v>
      </c>
      <c r="J23" s="71">
        <f>ROUNDUP(F23/3,0)</f>
        <v>34</v>
      </c>
      <c r="K23" s="69" t="s">
        <v>29</v>
      </c>
      <c r="L23" s="72">
        <v>0</v>
      </c>
      <c r="M23" s="24">
        <f>J23*L23</f>
        <v>0</v>
      </c>
      <c r="N23" s="53"/>
    </row>
    <row r="24" spans="1:14" outlineLevel="1" x14ac:dyDescent="0.3">
      <c r="B24" s="115" t="str">
        <f>"Финишная отделка"&amp;IF(C3="Базовая","(Опционально)",)</f>
        <v>Финишная отделка</v>
      </c>
      <c r="C24" s="116"/>
      <c r="D24" s="116"/>
      <c r="E24" s="138"/>
      <c r="F24" s="121"/>
      <c r="G24" s="119"/>
      <c r="H24" s="119"/>
      <c r="I24" s="122"/>
      <c r="J24" s="121"/>
      <c r="K24" s="119"/>
      <c r="L24" s="119"/>
      <c r="M24" s="122"/>
    </row>
    <row r="25" spans="1:14" outlineLevel="1" x14ac:dyDescent="0.3">
      <c r="B25" s="28" t="s">
        <v>37</v>
      </c>
      <c r="C25" s="68">
        <v>0.2</v>
      </c>
      <c r="D25" s="68" t="s">
        <v>32</v>
      </c>
      <c r="E25" s="79" t="s">
        <v>24</v>
      </c>
      <c r="F25" s="73">
        <f>C25*$C$8</f>
        <v>20</v>
      </c>
      <c r="G25" s="68" t="s">
        <v>33</v>
      </c>
      <c r="H25" s="72">
        <v>0</v>
      </c>
      <c r="I25" s="81">
        <f>H25*F25</f>
        <v>0</v>
      </c>
      <c r="J25" s="73">
        <f>ROUNDUP(F25/10,0)</f>
        <v>2</v>
      </c>
      <c r="K25" s="68" t="s">
        <v>43</v>
      </c>
      <c r="L25" s="72">
        <v>0</v>
      </c>
      <c r="M25" s="24" t="str">
        <f t="shared" ref="M25:M28" si="1">IF($C$3="стандартная",L25*J25,"0")</f>
        <v>0</v>
      </c>
      <c r="N25" s="112"/>
    </row>
    <row r="26" spans="1:14" outlineLevel="1" x14ac:dyDescent="0.3">
      <c r="B26" s="28" t="s">
        <v>113</v>
      </c>
      <c r="C26" s="68">
        <v>0.3</v>
      </c>
      <c r="D26" s="68" t="s">
        <v>40</v>
      </c>
      <c r="E26" s="79" t="s">
        <v>24</v>
      </c>
      <c r="F26" s="73">
        <f t="shared" ref="F26:F27" si="2">C26*$C$8</f>
        <v>30</v>
      </c>
      <c r="G26" s="68" t="s">
        <v>42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44</v>
      </c>
      <c r="L26" s="72">
        <v>0</v>
      </c>
      <c r="M26" s="24" t="str">
        <f t="shared" si="1"/>
        <v>0</v>
      </c>
      <c r="N26" s="112"/>
    </row>
    <row r="27" spans="1:14" ht="27.6" outlineLevel="1" x14ac:dyDescent="0.3">
      <c r="B27" s="28" t="s">
        <v>125</v>
      </c>
      <c r="C27" s="68">
        <v>1.2</v>
      </c>
      <c r="D27" s="68" t="s">
        <v>30</v>
      </c>
      <c r="E27" s="79" t="s">
        <v>24</v>
      </c>
      <c r="F27" s="73">
        <f t="shared" si="2"/>
        <v>120</v>
      </c>
      <c r="G27" s="68" t="s">
        <v>31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26</v>
      </c>
      <c r="L27" s="72">
        <v>0</v>
      </c>
      <c r="M27" s="24" t="str">
        <f t="shared" si="1"/>
        <v>0</v>
      </c>
      <c r="N27" s="112"/>
    </row>
    <row r="28" spans="1:14" ht="15" outlineLevel="1" thickBot="1" x14ac:dyDescent="0.35">
      <c r="B28" s="74" t="s">
        <v>74</v>
      </c>
      <c r="C28" s="75">
        <v>1.2</v>
      </c>
      <c r="D28" s="75" t="s">
        <v>41</v>
      </c>
      <c r="E28" s="92">
        <v>3</v>
      </c>
      <c r="F28" s="82">
        <f>C28*$C$8*E28</f>
        <v>360</v>
      </c>
      <c r="G28" s="75" t="s">
        <v>42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45</v>
      </c>
      <c r="L28" s="76">
        <v>0</v>
      </c>
      <c r="M28" s="85" t="str">
        <f t="shared" si="1"/>
        <v>0</v>
      </c>
      <c r="N28" s="112"/>
    </row>
    <row r="29" spans="1:14" outlineLevel="1" x14ac:dyDescent="0.3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3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76</v>
      </c>
      <c r="N30" s="4" t="s">
        <v>77</v>
      </c>
    </row>
    <row r="31" spans="1:14" x14ac:dyDescent="0.3">
      <c r="J31" s="155" t="s">
        <v>75</v>
      </c>
      <c r="K31" s="155"/>
      <c r="L31" s="155"/>
      <c r="M31" s="84">
        <f>M16+M17+M18+M19+M20+M21</f>
        <v>0</v>
      </c>
      <c r="N31" s="84">
        <f>M31+M23+M25+M26+M27+M28</f>
        <v>0</v>
      </c>
    </row>
    <row r="32" spans="1:14" x14ac:dyDescent="0.3">
      <c r="J32" s="125" t="s">
        <v>48</v>
      </c>
      <c r="K32" s="125"/>
      <c r="L32" s="125"/>
      <c r="M32" s="156">
        <v>25</v>
      </c>
      <c r="N32" s="156"/>
    </row>
    <row r="33" spans="9:14" x14ac:dyDescent="0.3">
      <c r="J33" s="110" t="s">
        <v>56</v>
      </c>
      <c r="K33" s="110"/>
      <c r="L33" s="110"/>
      <c r="M33" s="60">
        <f>M31*$M$32/100</f>
        <v>0</v>
      </c>
      <c r="N33" s="60">
        <f>N31*$M$32/100</f>
        <v>0</v>
      </c>
    </row>
    <row r="34" spans="9:14" x14ac:dyDescent="0.3">
      <c r="I34" s="110" t="s">
        <v>57</v>
      </c>
      <c r="J34" s="110"/>
      <c r="K34" s="110"/>
      <c r="L34" s="110"/>
      <c r="M34" s="60">
        <f>M31-M33</f>
        <v>0</v>
      </c>
      <c r="N34" s="60">
        <f>N31-N33</f>
        <v>0</v>
      </c>
    </row>
    <row r="35" spans="9:14" x14ac:dyDescent="0.3">
      <c r="J35" s="110"/>
      <c r="K35" s="110"/>
      <c r="L35" s="110"/>
      <c r="M35" s="108"/>
      <c r="N35" s="108"/>
    </row>
  </sheetData>
  <sheetProtection formatCells="0" formatColumns="0" formatRows="0" insertColumns="0" insertRows="0" deleteColumns="0" deleteRows="0"/>
  <mergeCells count="33"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  <mergeCell ref="N25:N28"/>
    <mergeCell ref="J31:L31"/>
    <mergeCell ref="J32:L32"/>
    <mergeCell ref="J33:L33"/>
    <mergeCell ref="M32:N32"/>
    <mergeCell ref="I34:L34"/>
    <mergeCell ref="J35:L35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topLeftCell="A2" zoomScale="130" zoomScaleNormal="130" zoomScaleSheetLayoutView="70" workbookViewId="0">
      <selection activeCell="B16" sqref="B16"/>
    </sheetView>
  </sheetViews>
  <sheetFormatPr defaultColWidth="8.6640625" defaultRowHeight="14.4" outlineLevelCol="1" x14ac:dyDescent="0.3"/>
  <cols>
    <col min="1" max="1" width="30.44140625" style="1" bestFit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33203125" style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7.5546875" style="1" bestFit="1" customWidth="1"/>
    <col min="13" max="13" width="13.88671875" style="1" customWidth="1"/>
    <col min="14" max="14" width="12.33203125" style="1" hidden="1" customWidth="1"/>
    <col min="15" max="15" width="8.6640625" style="1" hidden="1" customWidth="1"/>
    <col min="16" max="16" width="8.109375" style="1" customWidth="1"/>
    <col min="17" max="16384" width="8.6640625" style="1"/>
  </cols>
  <sheetData>
    <row r="2" spans="1:15" ht="33.6" x14ac:dyDescent="0.3">
      <c r="A2" s="160" t="s">
        <v>110</v>
      </c>
      <c r="B2" s="160"/>
      <c r="C2" s="160"/>
      <c r="D2" s="160"/>
      <c r="E2" s="160"/>
      <c r="F2" s="160"/>
      <c r="G2" s="160"/>
      <c r="H2" s="160"/>
    </row>
    <row r="3" spans="1:15" x14ac:dyDescent="0.3">
      <c r="A3" s="106" t="s">
        <v>101</v>
      </c>
      <c r="B3" s="17" t="s">
        <v>49</v>
      </c>
      <c r="C3" s="146" t="s">
        <v>90</v>
      </c>
      <c r="D3" s="146"/>
      <c r="E3" s="146"/>
      <c r="N3" s="1" t="s">
        <v>78</v>
      </c>
      <c r="O3" s="1">
        <v>4444</v>
      </c>
    </row>
    <row r="4" spans="1:15" x14ac:dyDescent="0.3">
      <c r="A4" s="140"/>
      <c r="B4" s="113" t="s">
        <v>65</v>
      </c>
      <c r="C4" s="113"/>
      <c r="D4" s="113"/>
      <c r="E4" s="113"/>
    </row>
    <row r="5" spans="1:15" x14ac:dyDescent="0.3">
      <c r="A5" s="140"/>
      <c r="B5" s="30" t="s">
        <v>61</v>
      </c>
      <c r="C5" s="114">
        <v>200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5" x14ac:dyDescent="0.3">
      <c r="A6" s="140"/>
      <c r="B6" s="30" t="s">
        <v>108</v>
      </c>
      <c r="C6" s="152">
        <v>150</v>
      </c>
      <c r="D6" s="153"/>
      <c r="E6" s="154"/>
      <c r="F6" s="101"/>
      <c r="G6" s="101"/>
      <c r="H6" s="101"/>
      <c r="I6" s="101"/>
      <c r="J6" s="144" t="s">
        <v>109</v>
      </c>
      <c r="K6" s="144"/>
      <c r="L6" s="144"/>
      <c r="M6" s="144"/>
    </row>
    <row r="7" spans="1:15" x14ac:dyDescent="0.3">
      <c r="A7" s="140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5" ht="30.9" customHeight="1" x14ac:dyDescent="0.3">
      <c r="A8" s="140"/>
      <c r="B8" s="105" t="s">
        <v>107</v>
      </c>
      <c r="C8" s="162">
        <v>10</v>
      </c>
      <c r="D8" s="162"/>
      <c r="E8" s="162"/>
      <c r="F8" s="101"/>
      <c r="G8" s="101"/>
      <c r="H8" s="101"/>
      <c r="I8" s="101"/>
      <c r="J8" s="145" t="s">
        <v>97</v>
      </c>
      <c r="K8" s="145"/>
      <c r="L8" s="145"/>
      <c r="M8" s="145"/>
    </row>
    <row r="9" spans="1:15" ht="18.600000000000001" customHeight="1" x14ac:dyDescent="0.3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15" thickBot="1" x14ac:dyDescent="0.35">
      <c r="A11" s="141"/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5" ht="27.6" x14ac:dyDescent="0.3">
      <c r="A12" s="141"/>
      <c r="B12" s="20" t="s">
        <v>12</v>
      </c>
      <c r="C12" s="21" t="s">
        <v>19</v>
      </c>
      <c r="D12" s="21" t="s">
        <v>22</v>
      </c>
      <c r="E12" s="22" t="s">
        <v>20</v>
      </c>
      <c r="F12" s="20" t="s">
        <v>13</v>
      </c>
      <c r="G12" s="21" t="s">
        <v>21</v>
      </c>
      <c r="H12" s="21" t="s">
        <v>51</v>
      </c>
      <c r="I12" s="22" t="s">
        <v>52</v>
      </c>
      <c r="J12" s="20" t="s">
        <v>13</v>
      </c>
      <c r="K12" s="21" t="s">
        <v>21</v>
      </c>
      <c r="L12" s="21" t="s">
        <v>51</v>
      </c>
      <c r="M12" s="22" t="s">
        <v>52</v>
      </c>
    </row>
    <row r="13" spans="1:15" x14ac:dyDescent="0.3">
      <c r="A13" s="141"/>
      <c r="B13" s="132"/>
      <c r="C13" s="130"/>
      <c r="D13" s="130"/>
      <c r="E13" s="133"/>
      <c r="F13" s="132" t="s">
        <v>53</v>
      </c>
      <c r="G13" s="130"/>
      <c r="H13" s="130"/>
      <c r="I13" s="133"/>
      <c r="J13" s="132" t="s">
        <v>54</v>
      </c>
      <c r="K13" s="130"/>
      <c r="L13" s="130"/>
      <c r="M13" s="133"/>
    </row>
    <row r="14" spans="1:15" x14ac:dyDescent="0.3">
      <c r="A14" s="141"/>
      <c r="B14" s="115" t="s">
        <v>111</v>
      </c>
      <c r="C14" s="116"/>
      <c r="D14" s="116"/>
      <c r="E14" s="117"/>
      <c r="F14" s="115"/>
      <c r="G14" s="116"/>
      <c r="H14" s="116"/>
      <c r="I14" s="117"/>
      <c r="J14" s="115"/>
      <c r="K14" s="116"/>
      <c r="L14" s="116"/>
      <c r="M14" s="117"/>
    </row>
    <row r="15" spans="1:15" ht="27.6" x14ac:dyDescent="0.3">
      <c r="A15" s="141"/>
      <c r="B15" s="28" t="s">
        <v>126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25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0</v>
      </c>
      <c r="M15" s="24">
        <f>L15*J15</f>
        <v>0</v>
      </c>
    </row>
    <row r="16" spans="1:15" x14ac:dyDescent="0.3">
      <c r="A16" s="103" t="s">
        <v>80</v>
      </c>
      <c r="B16" s="91" t="s">
        <v>131</v>
      </c>
      <c r="C16" s="11">
        <v>1.03</v>
      </c>
      <c r="D16" s="11" t="s">
        <v>23</v>
      </c>
      <c r="E16" s="29">
        <f>C6</f>
        <v>150</v>
      </c>
      <c r="F16" s="23">
        <f>C16*$C8</f>
        <v>10.3</v>
      </c>
      <c r="G16" s="11" t="s">
        <v>25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27</v>
      </c>
      <c r="L16" s="31">
        <v>0</v>
      </c>
      <c r="M16" s="24">
        <f>L16*J16</f>
        <v>0</v>
      </c>
    </row>
    <row r="17" spans="2:14" x14ac:dyDescent="0.3">
      <c r="B17" s="28" t="str">
        <f>B16 &amp; "(доутепление)"</f>
        <v>Vetonit (Isover) ПРОФИ(доутепление)</v>
      </c>
      <c r="C17" s="11">
        <f>IF(C7=0,"0",1.03)</f>
        <v>1.03</v>
      </c>
      <c r="D17" s="11" t="s">
        <v>23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27</v>
      </c>
      <c r="L17" s="31">
        <v>0</v>
      </c>
      <c r="M17" s="24">
        <f>L17*J17</f>
        <v>0</v>
      </c>
      <c r="N17" s="4"/>
    </row>
    <row r="18" spans="2:14" ht="27.6" x14ac:dyDescent="0.3">
      <c r="B18" s="28" t="str">
        <f>IF(C3="Оптимальная","Пароизоляционная мембрана Vetonit (Isover) Паранет В (рул.=70 м2)","Пароизоляционная мембрана ISOVER Гидранет Д (рул.=70 м2)")</f>
        <v>Пароизоляционная мембрана Vetonit (Isover) Паранет В (рул.=70 м2)</v>
      </c>
      <c r="C18" s="11">
        <v>1.1000000000000001</v>
      </c>
      <c r="D18" s="11" t="s">
        <v>23</v>
      </c>
      <c r="E18" s="29" t="s">
        <v>24</v>
      </c>
      <c r="F18" s="23">
        <f>C18*$C8</f>
        <v>11</v>
      </c>
      <c r="G18" s="11" t="s">
        <v>25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26</v>
      </c>
      <c r="L18" s="31">
        <v>0</v>
      </c>
      <c r="M18" s="24">
        <f>L18*J18</f>
        <v>0</v>
      </c>
    </row>
    <row r="19" spans="2:14" ht="27.6" x14ac:dyDescent="0.3">
      <c r="B19" s="28" t="s">
        <v>129</v>
      </c>
      <c r="C19" s="11">
        <v>2.2000000000000002</v>
      </c>
      <c r="D19" s="11" t="s">
        <v>30</v>
      </c>
      <c r="E19" s="29" t="s">
        <v>24</v>
      </c>
      <c r="F19" s="23">
        <f>C19*$C8</f>
        <v>22</v>
      </c>
      <c r="G19" s="11" t="s">
        <v>31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26</v>
      </c>
      <c r="L19" s="31">
        <v>0</v>
      </c>
      <c r="M19" s="24">
        <f>L19*J19</f>
        <v>0</v>
      </c>
    </row>
    <row r="20" spans="2:14" ht="28.2" thickBot="1" x14ac:dyDescent="0.35">
      <c r="B20" s="28" t="s">
        <v>105</v>
      </c>
      <c r="C20" s="11">
        <f>0.42*0.2</f>
        <v>8.4000000000000005E-2</v>
      </c>
      <c r="D20" s="97" t="s">
        <v>32</v>
      </c>
      <c r="E20" s="99" t="s">
        <v>24</v>
      </c>
      <c r="F20" s="96">
        <f>C20*$C8</f>
        <v>0.84000000000000008</v>
      </c>
      <c r="G20" s="97" t="s">
        <v>33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106</v>
      </c>
      <c r="L20" s="98">
        <v>0</v>
      </c>
      <c r="M20" s="85">
        <f>J20*L20</f>
        <v>0</v>
      </c>
    </row>
    <row r="21" spans="2:14" x14ac:dyDescent="0.3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3">
      <c r="J22" s="155" t="s">
        <v>79</v>
      </c>
      <c r="K22" s="155"/>
      <c r="L22" s="155"/>
      <c r="M22" s="84">
        <f>M15+M16+M17+M18+M19+M20</f>
        <v>0</v>
      </c>
      <c r="N22" s="84"/>
    </row>
    <row r="23" spans="2:14" x14ac:dyDescent="0.3">
      <c r="J23" s="125" t="s">
        <v>48</v>
      </c>
      <c r="K23" s="125"/>
      <c r="L23" s="125"/>
      <c r="M23" s="95">
        <v>0</v>
      </c>
      <c r="N23" s="95"/>
    </row>
    <row r="24" spans="2:14" x14ac:dyDescent="0.3">
      <c r="J24" s="110" t="s">
        <v>56</v>
      </c>
      <c r="K24" s="110"/>
      <c r="L24" s="110"/>
      <c r="M24" s="60">
        <f>M22*$M$23/100</f>
        <v>0</v>
      </c>
      <c r="N24" s="60"/>
    </row>
    <row r="25" spans="2:14" x14ac:dyDescent="0.3">
      <c r="I25" s="110" t="s">
        <v>57</v>
      </c>
      <c r="J25" s="110"/>
      <c r="K25" s="110"/>
      <c r="L25" s="110"/>
      <c r="M25" s="60">
        <f>M22-M24</f>
        <v>0</v>
      </c>
      <c r="N25" s="60"/>
    </row>
    <row r="26" spans="2:14" x14ac:dyDescent="0.3">
      <c r="J26" s="110" t="s">
        <v>103</v>
      </c>
      <c r="K26" s="110"/>
      <c r="L26" s="110"/>
      <c r="M26" s="108">
        <v>0</v>
      </c>
      <c r="N26" s="108">
        <v>0</v>
      </c>
    </row>
    <row r="27" spans="2:14" x14ac:dyDescent="0.3">
      <c r="J27" s="111" t="s">
        <v>104</v>
      </c>
      <c r="K27" s="111"/>
      <c r="L27" s="111"/>
      <c r="M27" s="109">
        <f>SUM(M25+M26)</f>
        <v>0</v>
      </c>
      <c r="N27" s="109">
        <f>SUM(N25+N26)</f>
        <v>0</v>
      </c>
    </row>
  </sheetData>
  <sheetProtection formatCells="0" formatColumns="0" formatRows="0" insertColumns="0" insertRows="0" deleteColumns="0" deleteRows="0"/>
  <mergeCells count="27"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A4:A8"/>
    <mergeCell ref="B11:M11"/>
    <mergeCell ref="B13:E13"/>
    <mergeCell ref="F13:I13"/>
    <mergeCell ref="J13:M13"/>
    <mergeCell ref="B14:E14"/>
    <mergeCell ref="F14:I14"/>
    <mergeCell ref="J14:M14"/>
    <mergeCell ref="J26:L26"/>
    <mergeCell ref="J27:L27"/>
    <mergeCell ref="J22:L22"/>
    <mergeCell ref="J23:L23"/>
    <mergeCell ref="J24:L24"/>
    <mergeCell ref="I25:L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topLeftCell="B1" workbookViewId="0">
      <selection activeCell="L35" sqref="L35"/>
    </sheetView>
  </sheetViews>
  <sheetFormatPr defaultColWidth="8.6640625" defaultRowHeight="14.4" x14ac:dyDescent="0.3"/>
  <cols>
    <col min="1" max="1" width="8.6640625" style="1"/>
    <col min="2" max="2" width="21.109375" style="1" customWidth="1"/>
    <col min="3" max="3" width="38.5546875" style="6" customWidth="1"/>
    <col min="4" max="4" width="12.88671875" style="6" customWidth="1"/>
    <col min="5" max="6" width="8.6640625" style="1"/>
    <col min="7" max="7" width="19.44140625" style="1" customWidth="1"/>
    <col min="8" max="8" width="24.88671875" style="1" customWidth="1"/>
    <col min="9" max="9" width="8.6640625" style="1" customWidth="1"/>
    <col min="10" max="10" width="24.109375" style="1" customWidth="1"/>
    <col min="11" max="11" width="8.6640625" style="1"/>
    <col min="12" max="12" width="18.5546875" style="1" customWidth="1"/>
    <col min="13" max="13" width="11.5546875" style="1" customWidth="1"/>
    <col min="14" max="14" width="11.88671875" style="1" customWidth="1"/>
    <col min="15" max="16384" width="8.6640625" style="1"/>
  </cols>
  <sheetData>
    <row r="1" spans="2:20" x14ac:dyDescent="0.3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x14ac:dyDescent="0.3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38</v>
      </c>
      <c r="K2" s="3"/>
      <c r="L2" s="7" t="s">
        <v>46</v>
      </c>
      <c r="M2" s="7" t="s">
        <v>114</v>
      </c>
      <c r="N2" s="7" t="s">
        <v>122</v>
      </c>
      <c r="O2" s="7" t="s">
        <v>123</v>
      </c>
      <c r="P2" s="7" t="s">
        <v>124</v>
      </c>
      <c r="Q2" s="7" t="s">
        <v>17</v>
      </c>
      <c r="R2" s="7" t="s">
        <v>18</v>
      </c>
      <c r="S2" s="1" t="s">
        <v>46</v>
      </c>
    </row>
    <row r="3" spans="2:20" x14ac:dyDescent="0.3">
      <c r="B3" s="1" t="s">
        <v>3</v>
      </c>
      <c r="C3" s="6">
        <v>170</v>
      </c>
      <c r="D3" s="6">
        <v>200</v>
      </c>
      <c r="G3" s="18" t="s">
        <v>24</v>
      </c>
      <c r="I3" s="1" t="s">
        <v>9</v>
      </c>
      <c r="J3" s="1" t="s">
        <v>112</v>
      </c>
      <c r="K3" s="1" t="s">
        <v>46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36</v>
      </c>
      <c r="R3" s="9" t="s">
        <v>36</v>
      </c>
      <c r="S3" s="6"/>
      <c r="T3" s="6"/>
    </row>
    <row r="4" spans="2:20" x14ac:dyDescent="0.3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113</v>
      </c>
      <c r="K4" s="1" t="s">
        <v>46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3">
      <c r="B5" s="12" t="s">
        <v>47</v>
      </c>
      <c r="C5" s="13">
        <v>180</v>
      </c>
      <c r="D5" s="13">
        <v>200</v>
      </c>
      <c r="G5" s="1">
        <v>200</v>
      </c>
      <c r="M5" s="4"/>
    </row>
    <row r="6" spans="2:20" x14ac:dyDescent="0.3">
      <c r="G6" s="3"/>
      <c r="M6" s="4"/>
    </row>
    <row r="7" spans="2:20" x14ac:dyDescent="0.3">
      <c r="H7" s="1" t="s">
        <v>46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3">
      <c r="H8" s="1" t="s">
        <v>46</v>
      </c>
      <c r="L8" s="7"/>
      <c r="M8" s="7" t="s">
        <v>37</v>
      </c>
      <c r="N8" s="10" t="s">
        <v>112</v>
      </c>
      <c r="O8" s="7" t="s">
        <v>125</v>
      </c>
      <c r="P8" s="7" t="s">
        <v>39</v>
      </c>
      <c r="Q8" s="1" t="s">
        <v>46</v>
      </c>
    </row>
    <row r="9" spans="2:20" x14ac:dyDescent="0.3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3">
      <c r="G10" s="3" t="s">
        <v>14</v>
      </c>
      <c r="H10" s="3" t="s">
        <v>34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3">
      <c r="G11" s="1" t="s">
        <v>114</v>
      </c>
      <c r="H11" s="1">
        <v>15</v>
      </c>
    </row>
    <row r="12" spans="2:20" x14ac:dyDescent="0.3">
      <c r="G12" s="1" t="s">
        <v>115</v>
      </c>
      <c r="H12" s="1">
        <v>12.5</v>
      </c>
    </row>
    <row r="13" spans="2:20" x14ac:dyDescent="0.3">
      <c r="G13" s="1" t="s">
        <v>116</v>
      </c>
      <c r="H13" s="1">
        <v>12.5</v>
      </c>
    </row>
    <row r="14" spans="2:20" x14ac:dyDescent="0.3">
      <c r="G14" s="1" t="s">
        <v>117</v>
      </c>
      <c r="H14" s="12">
        <v>15</v>
      </c>
    </row>
    <row r="15" spans="2:20" x14ac:dyDescent="0.3">
      <c r="G15" s="1" t="s">
        <v>118</v>
      </c>
      <c r="H15" s="12">
        <v>15</v>
      </c>
    </row>
    <row r="16" spans="2:20" x14ac:dyDescent="0.3">
      <c r="G16" s="1" t="s">
        <v>73</v>
      </c>
      <c r="H16" s="12">
        <v>12.5</v>
      </c>
    </row>
    <row r="18" spans="7:18" x14ac:dyDescent="0.3">
      <c r="G18" s="1" t="s">
        <v>6</v>
      </c>
      <c r="H18" s="1" t="s">
        <v>35</v>
      </c>
    </row>
    <row r="19" spans="7:18" x14ac:dyDescent="0.3">
      <c r="G19" s="1">
        <v>0</v>
      </c>
      <c r="H19" s="1" t="s">
        <v>24</v>
      </c>
      <c r="J19" s="66" t="s">
        <v>98</v>
      </c>
      <c r="M19" s="1" t="s">
        <v>67</v>
      </c>
      <c r="N19" s="1" t="s">
        <v>68</v>
      </c>
      <c r="O19" s="1" t="s">
        <v>69</v>
      </c>
      <c r="P19" s="1" t="s">
        <v>99</v>
      </c>
      <c r="Q19" s="1" t="s">
        <v>70</v>
      </c>
      <c r="R19" s="1" t="s">
        <v>71</v>
      </c>
    </row>
    <row r="20" spans="7:18" x14ac:dyDescent="0.3">
      <c r="G20" s="1">
        <v>50</v>
      </c>
      <c r="H20" s="1" t="s">
        <v>119</v>
      </c>
      <c r="I20" s="1" t="s">
        <v>46</v>
      </c>
      <c r="J20" s="67" t="str">
        <f>IF('Каркасная стена'!$C$3="Базовая","-","Vetonit (Isover) Каркас П34 565 мм")</f>
        <v>Vetonit (Isover) Каркас П34 565 мм</v>
      </c>
      <c r="L20" s="1" t="s">
        <v>126</v>
      </c>
      <c r="M20" s="1">
        <v>1.1000000000000001</v>
      </c>
      <c r="N20" s="1" t="s">
        <v>23</v>
      </c>
      <c r="O20" s="1" t="s">
        <v>24</v>
      </c>
      <c r="P20" s="1">
        <v>70</v>
      </c>
      <c r="Q20" s="1" t="s">
        <v>26</v>
      </c>
      <c r="R20" s="1">
        <v>2.2000000000000002</v>
      </c>
    </row>
    <row r="21" spans="7:18" x14ac:dyDescent="0.3">
      <c r="G21" s="1">
        <v>100</v>
      </c>
      <c r="H21" s="1" t="s">
        <v>119</v>
      </c>
      <c r="I21" s="1" t="s">
        <v>46</v>
      </c>
      <c r="J21" s="67" t="str">
        <f>IF('Каркасная стена'!$C$3="Базовая","Vetonit (Isover) Тепло и Тихо Плита","-")</f>
        <v>-</v>
      </c>
      <c r="L21" s="1" t="s">
        <v>127</v>
      </c>
      <c r="M21" s="1">
        <v>1</v>
      </c>
      <c r="N21" s="1" t="s">
        <v>23</v>
      </c>
      <c r="O21" s="1">
        <v>9.5</v>
      </c>
      <c r="P21" s="1">
        <v>3</v>
      </c>
      <c r="Q21" s="1" t="s">
        <v>29</v>
      </c>
      <c r="R21" s="1">
        <v>1.1000000000000001</v>
      </c>
    </row>
    <row r="22" spans="7:18" x14ac:dyDescent="0.3">
      <c r="G22" s="1">
        <v>150</v>
      </c>
      <c r="H22" s="1" t="s">
        <v>119</v>
      </c>
      <c r="I22" s="1" t="s">
        <v>46</v>
      </c>
      <c r="J22" s="67" t="str">
        <f>IF('Каркасная стена'!$C$3="Базовая","Vetonit (Isover) Тепло и Тихо Стена","-")</f>
        <v>-</v>
      </c>
    </row>
    <row r="23" spans="7:18" x14ac:dyDescent="0.3">
      <c r="J23" s="67" t="str">
        <f>IF('Каркасная стена'!$C$3="Базовая","Vetonit (Isover) Тепло и Тихо Стена+","-")</f>
        <v>-</v>
      </c>
    </row>
    <row r="24" spans="7:18" x14ac:dyDescent="0.3">
      <c r="G24" s="1" t="s">
        <v>49</v>
      </c>
      <c r="H24"/>
      <c r="J24" s="67" t="str">
        <f>IF('Каркасная стена'!$C$3="Базовая","Vetonit (Isover) Тёплые стены Стронг","-")</f>
        <v>-</v>
      </c>
    </row>
    <row r="25" spans="7:18" x14ac:dyDescent="0.3">
      <c r="G25" s="14" t="s">
        <v>50</v>
      </c>
      <c r="H25" s="15"/>
      <c r="J25" s="67" t="str">
        <f>IF('Каркасная стена'!$C$3="Базовая","Vetonit (Isover) Каркас П34","-")</f>
        <v>-</v>
      </c>
    </row>
    <row r="26" spans="7:18" x14ac:dyDescent="0.3">
      <c r="G26" s="1" t="s">
        <v>90</v>
      </c>
      <c r="H26" s="16"/>
      <c r="J26" s="67" t="str">
        <f>IF('Пол и потолок'!C3="Оптимальная","Vetonit (Isover) Тёплая Крыша Стронг","-")</f>
        <v>Vetonit (Isover) Тёплая Крыша Стронг</v>
      </c>
    </row>
    <row r="27" spans="7:18" x14ac:dyDescent="0.3">
      <c r="G27" s="12"/>
      <c r="J27" s="67" t="str">
        <f>IF('Пол и потолок'!C3="Оптимальная","Vetonit (Isover) Каркас М34","-")</f>
        <v>Vetonit (Isover) Каркас М34</v>
      </c>
    </row>
    <row r="28" spans="7:18" x14ac:dyDescent="0.3">
      <c r="J28" s="67" t="str">
        <f>IF('Пол и потолок'!C3="Оптимальная","-","Vetonit(Isover) Тепло и Тихо Крыша")</f>
        <v>-</v>
      </c>
    </row>
    <row r="29" spans="7:18" x14ac:dyDescent="0.3">
      <c r="J29" s="67" t="str">
        <f>IF('Пол и потолок'!C3="Оптимальная","Vetonit (Isover) ПРОФИ","-")</f>
        <v>Vetonit (Isover) ПРОФИ</v>
      </c>
    </row>
    <row r="30" spans="7:18" x14ac:dyDescent="0.3">
      <c r="J30" s="67" t="str">
        <f>IF('Пол и потолок'!C3="Оптимальная","Vetonit (Isover) Каркас М37","-")</f>
        <v>Vetonit (Isover) Каркас М37</v>
      </c>
    </row>
    <row r="31" spans="7:18" x14ac:dyDescent="0.3">
      <c r="J31" s="67" t="str">
        <f>IF('Пол и потолок'!C3="Оптимальная","-","Vetonit (Isover) Тепло и Тихо Полы и Перекрытия")</f>
        <v>-</v>
      </c>
    </row>
    <row r="32" spans="7:18" x14ac:dyDescent="0.3">
      <c r="J32" s="67" t="s">
        <v>120</v>
      </c>
    </row>
    <row r="33" spans="7:14" x14ac:dyDescent="0.3">
      <c r="J33" s="67" t="s">
        <v>121</v>
      </c>
    </row>
    <row r="34" spans="7:14" x14ac:dyDescent="0.3">
      <c r="J34" s="67"/>
    </row>
    <row r="38" spans="7:14" x14ac:dyDescent="0.3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3">
      <c r="G39" s="1" t="s">
        <v>15</v>
      </c>
      <c r="H39" s="11">
        <v>1.03</v>
      </c>
      <c r="I39" s="11" t="s">
        <v>23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25</v>
      </c>
      <c r="M39" s="11">
        <f>ROUNDUP(K39*J39/1000,0)</f>
        <v>11</v>
      </c>
      <c r="N39" s="11" t="s">
        <v>27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 и потолок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2025-04-04T11:49:17Z</dcterms:modified>
</cp:coreProperties>
</file>