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E05AAF38-8DE0-4A88-A0AD-D65733D6372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Тёплая мансарда" sheetId="1" state="hidden" r:id="rId1"/>
    <sheet name="Каркасная стена" sheetId="3" state="hidden" r:id="rId2"/>
    <sheet name="Пол и потолок" sheetId="4" r:id="rId3"/>
    <sheet name="База данных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B17" i="3"/>
  <c r="J30" i="2"/>
  <c r="J29" i="2"/>
  <c r="B17" i="4"/>
  <c r="B18" i="4" l="1"/>
  <c r="J31" i="2"/>
  <c r="J25" i="2"/>
  <c r="J24" i="2"/>
  <c r="J23" i="2"/>
  <c r="J22" i="2"/>
  <c r="J21" i="2"/>
  <c r="B16" i="3"/>
  <c r="C16" i="3" s="1"/>
  <c r="J27" i="2"/>
  <c r="J26" i="2"/>
  <c r="J20" i="2"/>
  <c r="E18" i="1"/>
  <c r="I20" i="4"/>
  <c r="M20" i="4"/>
  <c r="C20" i="4"/>
  <c r="F21" i="3"/>
  <c r="I21" i="3"/>
  <c r="M21" i="3"/>
  <c r="J21" i="3"/>
  <c r="M19" i="3"/>
  <c r="F23" i="1"/>
  <c r="C23" i="1"/>
  <c r="M17" i="1"/>
  <c r="J17" i="1"/>
  <c r="J23" i="1" l="1"/>
  <c r="M23" i="1" s="1"/>
  <c r="C6" i="1"/>
  <c r="N27" i="4"/>
  <c r="B18" i="3" l="1"/>
  <c r="M22" i="1"/>
  <c r="C10" i="1"/>
  <c r="B19" i="1"/>
  <c r="C35" i="1"/>
  <c r="F35" i="1" s="1"/>
  <c r="C34" i="1"/>
  <c r="F34" i="1" s="1"/>
  <c r="C33" i="1"/>
  <c r="F33" i="1" s="1"/>
  <c r="C32" i="1"/>
  <c r="F32" i="1" s="1"/>
  <c r="C30" i="1"/>
  <c r="F30" i="1" s="1"/>
  <c r="C29" i="1"/>
  <c r="C28" i="1"/>
  <c r="C27" i="1"/>
  <c r="F27" i="1" s="1"/>
  <c r="C26" i="1"/>
  <c r="F26" i="1" s="1"/>
  <c r="C25" i="1"/>
  <c r="F25" i="1" s="1"/>
  <c r="K20" i="1"/>
  <c r="K19" i="1"/>
  <c r="G19" i="1"/>
  <c r="J18" i="1"/>
  <c r="D19" i="1"/>
  <c r="C19" i="1"/>
  <c r="B24" i="3"/>
  <c r="B22" i="3"/>
  <c r="K18" i="3" l="1"/>
  <c r="G18" i="3"/>
  <c r="D18" i="3"/>
  <c r="G17" i="4"/>
  <c r="F20" i="4"/>
  <c r="J20" i="4" s="1"/>
  <c r="F18" i="4"/>
  <c r="J18" i="4" s="1"/>
  <c r="M18" i="4" s="1"/>
  <c r="F16" i="4"/>
  <c r="I16" i="4" s="1"/>
  <c r="E16" i="4"/>
  <c r="K15" i="4"/>
  <c r="F19" i="4"/>
  <c r="C7" i="4"/>
  <c r="C17" i="4" s="1"/>
  <c r="F17" i="4" l="1"/>
  <c r="J16" i="4"/>
  <c r="M16" i="4" s="1"/>
  <c r="I19" i="4"/>
  <c r="J19" i="4"/>
  <c r="M19" i="4" s="1"/>
  <c r="C15" i="4"/>
  <c r="F15" i="4" s="1"/>
  <c r="E17" i="4"/>
  <c r="I18" i="4"/>
  <c r="D15" i="4"/>
  <c r="E15" i="4"/>
  <c r="F28" i="3"/>
  <c r="F26" i="3"/>
  <c r="F27" i="3"/>
  <c r="F25" i="3"/>
  <c r="F23" i="3"/>
  <c r="I23" i="3" s="1"/>
  <c r="E17" i="3"/>
  <c r="F16" i="3"/>
  <c r="J16" i="3" s="1"/>
  <c r="C7" i="3"/>
  <c r="E18" i="3" s="1"/>
  <c r="E23" i="3"/>
  <c r="F19" i="3"/>
  <c r="J19" i="3" s="1"/>
  <c r="F17" i="3"/>
  <c r="I17" i="3" s="1"/>
  <c r="I15" i="4" l="1"/>
  <c r="J15" i="4"/>
  <c r="I17" i="4"/>
  <c r="J17" i="4"/>
  <c r="C20" i="3"/>
  <c r="F20" i="3" s="1"/>
  <c r="I19" i="3"/>
  <c r="C18" i="3"/>
  <c r="F18" i="3" s="1"/>
  <c r="E16" i="3"/>
  <c r="D16" i="3"/>
  <c r="K16" i="3"/>
  <c r="J17" i="3"/>
  <c r="M17" i="3" s="1"/>
  <c r="J23" i="3"/>
  <c r="M23" i="3" s="1"/>
  <c r="J25" i="3"/>
  <c r="M25" i="3" s="1"/>
  <c r="I25" i="3"/>
  <c r="J26" i="3"/>
  <c r="M26" i="3" s="1"/>
  <c r="I26" i="3"/>
  <c r="J27" i="3"/>
  <c r="M27" i="3" s="1"/>
  <c r="I27" i="3"/>
  <c r="J28" i="3"/>
  <c r="M28" i="3" s="1"/>
  <c r="I28" i="3"/>
  <c r="I16" i="3"/>
  <c r="J20" i="3" l="1"/>
  <c r="M20" i="3" s="1"/>
  <c r="I18" i="3"/>
  <c r="J18" i="3"/>
  <c r="M18" i="3" s="1"/>
  <c r="M16" i="3"/>
  <c r="M15" i="4"/>
  <c r="I20" i="3"/>
  <c r="I28" i="1"/>
  <c r="I29" i="1"/>
  <c r="E25" i="1"/>
  <c r="G20" i="1"/>
  <c r="K39" i="2"/>
  <c r="F19" i="1" s="1"/>
  <c r="I19" i="1" s="1"/>
  <c r="I25" i="1" l="1"/>
  <c r="I32" i="1"/>
  <c r="I33" i="1"/>
  <c r="I34" i="1"/>
  <c r="I35" i="1"/>
  <c r="D20" i="1"/>
  <c r="J39" i="2"/>
  <c r="E19" i="1" s="1"/>
  <c r="M39" i="2" l="1"/>
  <c r="J19" i="1" s="1"/>
  <c r="M19" i="1" s="1"/>
  <c r="M31" i="3" l="1"/>
  <c r="M17" i="4"/>
  <c r="M22" i="4" s="1"/>
  <c r="J35" i="1"/>
  <c r="M35" i="1" s="1"/>
  <c r="J34" i="1"/>
  <c r="M34" i="1" s="1"/>
  <c r="J33" i="1"/>
  <c r="M33" i="1" s="1"/>
  <c r="J32" i="1"/>
  <c r="M32" i="1" s="1"/>
  <c r="J25" i="1"/>
  <c r="M25" i="1" s="1"/>
  <c r="F22" i="1"/>
  <c r="F21" i="1"/>
  <c r="J21" i="1" s="1"/>
  <c r="F18" i="1"/>
  <c r="I18" i="1" s="1"/>
  <c r="F17" i="1"/>
  <c r="N31" i="3" l="1"/>
  <c r="N33" i="3" s="1"/>
  <c r="N34" i="3" s="1"/>
  <c r="M33" i="3"/>
  <c r="M34" i="3" s="1"/>
  <c r="M24" i="4"/>
  <c r="M25" i="4" s="1"/>
  <c r="M27" i="4" s="1"/>
  <c r="I23" i="1"/>
  <c r="M21" i="1"/>
  <c r="I21" i="1"/>
  <c r="J22" i="1"/>
  <c r="I22" i="1"/>
  <c r="I17" i="1"/>
  <c r="J30" i="1"/>
  <c r="M30" i="1" s="1"/>
  <c r="I30" i="1"/>
  <c r="J27" i="1"/>
  <c r="M27" i="1" s="1"/>
  <c r="I27" i="1"/>
  <c r="J26" i="1"/>
  <c r="M26" i="1" s="1"/>
  <c r="I26" i="1"/>
  <c r="M18" i="1"/>
  <c r="C20" i="1"/>
  <c r="F20" i="1" s="1"/>
  <c r="J20" i="1" s="1"/>
  <c r="M20" i="1" s="1"/>
  <c r="M36" i="1" l="1"/>
  <c r="M38" i="1" s="1"/>
  <c r="M39" i="1" s="1"/>
  <c r="M41" i="1" s="1"/>
  <c r="I20" i="1" l="1"/>
</calcChain>
</file>

<file path=xl/sharedStrings.xml><?xml version="1.0" encoding="utf-8"?>
<sst xmlns="http://schemas.openxmlformats.org/spreadsheetml/2006/main" count="339" uniqueCount="134">
  <si>
    <t>Регион строительства</t>
  </si>
  <si>
    <t>Округление</t>
  </si>
  <si>
    <t>Рекомендованная толщина утепления, мм</t>
  </si>
  <si>
    <t>Москва и МО</t>
  </si>
  <si>
    <t>Ленинградская обл.</t>
  </si>
  <si>
    <t>Высота стропил, мм</t>
  </si>
  <si>
    <t>Доутепление</t>
  </si>
  <si>
    <t>Спецификация</t>
  </si>
  <si>
    <t>Отделка ГСП</t>
  </si>
  <si>
    <t>Да</t>
  </si>
  <si>
    <t>Нет</t>
  </si>
  <si>
    <t>Тёплая мансарда</t>
  </si>
  <si>
    <t>Наименование материала</t>
  </si>
  <si>
    <t>Кол-во</t>
  </si>
  <si>
    <t>ГСП</t>
  </si>
  <si>
    <t>Минеральная вата ISOVER Теплая Крыша Стронг</t>
  </si>
  <si>
    <t xml:space="preserve">Клей-герметик для сборки силовых элементов каркаса vetonit hybrid universal </t>
  </si>
  <si>
    <t>Соединитель профилей "краб"</t>
  </si>
  <si>
    <t>Удлинитель профилей</t>
  </si>
  <si>
    <t>Расход</t>
  </si>
  <si>
    <t>Толщина, мм</t>
  </si>
  <si>
    <t>Ед. изм.</t>
  </si>
  <si>
    <t xml:space="preserve">Ед. изм. </t>
  </si>
  <si>
    <t>м2/м2</t>
  </si>
  <si>
    <t xml:space="preserve"> - </t>
  </si>
  <si>
    <t>м2</t>
  </si>
  <si>
    <t>рул.</t>
  </si>
  <si>
    <t>м3</t>
  </si>
  <si>
    <t>шт./м2</t>
  </si>
  <si>
    <t>шт.</t>
  </si>
  <si>
    <t>мп/м2</t>
  </si>
  <si>
    <t>мп</t>
  </si>
  <si>
    <t>л/м2</t>
  </si>
  <si>
    <t>л</t>
  </si>
  <si>
    <t>толщина</t>
  </si>
  <si>
    <t>Подвес</t>
  </si>
  <si>
    <t>по расчёту</t>
  </si>
  <si>
    <t>Грунтовка vetonit prim multi universal (10 л)</t>
  </si>
  <si>
    <t>Шпаклевка для стыков</t>
  </si>
  <si>
    <t>Суперфинишная шпаклёвка vetonit LR pasta brilliant (18 кг)</t>
  </si>
  <si>
    <t>кг/м2</t>
  </si>
  <si>
    <t>кг/м2/мм</t>
  </si>
  <si>
    <t>кг</t>
  </si>
  <si>
    <t>кан.</t>
  </si>
  <si>
    <t>меш.</t>
  </si>
  <si>
    <t>вед.</t>
  </si>
  <si>
    <t xml:space="preserve"> </t>
  </si>
  <si>
    <t>Нижний Новгород</t>
  </si>
  <si>
    <t>Скидка, %</t>
  </si>
  <si>
    <t>Система</t>
  </si>
  <si>
    <t>Базовая</t>
  </si>
  <si>
    <t>Цена</t>
  </si>
  <si>
    <t>Стоимость</t>
  </si>
  <si>
    <t>за ед. измерения</t>
  </si>
  <si>
    <t>кратно упаковкам</t>
  </si>
  <si>
    <t>Итого</t>
  </si>
  <si>
    <t>Сумма скидки</t>
  </si>
  <si>
    <t>Итого с учетом скидки</t>
  </si>
  <si>
    <t>Толщина доутепления, мм</t>
  </si>
  <si>
    <r>
      <t xml:space="preserve">Исходные данные для </t>
    </r>
    <r>
      <rPr>
        <b/>
        <sz val="11"/>
        <color theme="7" tint="0.59999389629810485"/>
        <rFont val="Calibri Light"/>
        <family val="2"/>
        <charset val="204"/>
        <scheme val="major"/>
      </rPr>
      <t>базовой системы</t>
    </r>
  </si>
  <si>
    <r>
      <t>Система</t>
    </r>
    <r>
      <rPr>
        <i/>
        <sz val="11"/>
        <color theme="0"/>
        <rFont val="Calibri Light"/>
        <family val="2"/>
        <charset val="204"/>
        <scheme val="major"/>
      </rPr>
      <t xml:space="preserve"> (выберите из выпадающего списка)</t>
    </r>
  </si>
  <si>
    <r>
      <t xml:space="preserve">Толщина утепления, мм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</si>
  <si>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r>
      <t xml:space="preserve">Высота стропил,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</si>
  <si>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r>
      <t xml:space="preserve">Площадь кровли,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</si>
  <si>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t>Кровельный подвес (уп.=50 шт.)</t>
  </si>
  <si>
    <t>Исходные данные</t>
  </si>
  <si>
    <r>
      <t xml:space="preserve">Площадь стены,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</si>
  <si>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t>2 расход</t>
  </si>
  <si>
    <t>3 ед.изм.</t>
  </si>
  <si>
    <t>4 толщина, мм</t>
  </si>
  <si>
    <t>6 ед.изм.</t>
  </si>
  <si>
    <t>7 расход скотча</t>
  </si>
  <si>
    <t>Каркасная стена</t>
  </si>
  <si>
    <r>
      <t xml:space="preserve">ГСП Мультикомфорт </t>
    </r>
    <r>
      <rPr>
        <sz val="11"/>
        <color theme="1"/>
        <rFont val="Calibri"/>
        <family val="2"/>
        <charset val="204"/>
        <scheme val="minor"/>
      </rPr>
      <t>(3 м2)</t>
    </r>
  </si>
  <si>
    <t>Полимерная финишная шпаклёвка vetonit LR+ (20 кг)</t>
  </si>
  <si>
    <t>Итого (без отделки)</t>
  </si>
  <si>
    <t>без отделки</t>
  </si>
  <si>
    <t>с отделкой</t>
  </si>
  <si>
    <t>Пароль</t>
  </si>
  <si>
    <t xml:space="preserve">Итого </t>
  </si>
  <si>
    <t>(выберите из списка)</t>
  </si>
  <si>
    <t>в Базовой системе толщина утепления = высоте стропил</t>
  </si>
  <si>
    <t>введите общую толщину утепления</t>
  </si>
  <si>
    <t>выберите из списка высоту стропил</t>
  </si>
  <si>
    <t>доутепление считается автоматически</t>
  </si>
  <si>
    <t>введите площадь утепляемой зоны кровли</t>
  </si>
  <si>
    <t>Калькулятор расчета системы "Изовер Каркасная Стена"</t>
  </si>
  <si>
    <t>введите площадь утепляемой зоны стены</t>
  </si>
  <si>
    <t>Базовая Тёплая мансарда</t>
  </si>
  <si>
    <t>Оптимальная Тёплая мансарда</t>
  </si>
  <si>
    <t>Оптимальная</t>
  </si>
  <si>
    <r>
      <t xml:space="preserve">Отделка ГСП Gyproc </t>
    </r>
    <r>
      <rPr>
        <i/>
        <sz val="11"/>
        <color theme="0"/>
        <rFont val="Calibri Light"/>
        <family val="2"/>
        <charset val="204"/>
        <scheme val="major"/>
      </rPr>
      <t>(только для Оптимальной системы)</t>
    </r>
  </si>
  <si>
    <r>
      <t xml:space="preserve">Финишная отделка </t>
    </r>
    <r>
      <rPr>
        <i/>
        <sz val="11"/>
        <color theme="0"/>
        <rFont val="Calibri Light"/>
        <family val="2"/>
        <charset val="204"/>
        <scheme val="major"/>
      </rPr>
      <t>(только для Оптимальной системы)</t>
    </r>
  </si>
  <si>
    <t>&lt;- только для Оптимальной системы</t>
  </si>
  <si>
    <t>Калькулятор расчета системы "Изовер Тёплая Мансарда"</t>
  </si>
  <si>
    <t>Оптимальная Каркасная Стена</t>
  </si>
  <si>
    <t>Базовая Каркасная Стена</t>
  </si>
  <si>
    <t>введите площадь утепляемой зоны пола/потолка</t>
  </si>
  <si>
    <t>Вата (все конструкции)</t>
  </si>
  <si>
    <t>5 упаковка</t>
  </si>
  <si>
    <r>
      <t>Исходные данные для оптимальной</t>
    </r>
    <r>
      <rPr>
        <b/>
        <sz val="11"/>
        <color theme="4" tint="0.59999389629810485"/>
        <rFont val="Calibri Light"/>
        <family val="2"/>
        <charset val="204"/>
        <scheme val="major"/>
      </rPr>
      <t xml:space="preserve"> системы</t>
    </r>
  </si>
  <si>
    <t>Полы и перекрытие</t>
  </si>
  <si>
    <r>
      <t xml:space="preserve">Толщина (высота) стоек каркаса,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</si>
  <si>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t>Стоимость доставки</t>
  </si>
  <si>
    <t>Итого с доставкой</t>
  </si>
  <si>
    <t xml:space="preserve">Клей-герметик для герметизации примыканий пароизоляции к стенам vetonit hybrid universal </t>
  </si>
  <si>
    <t>уп (0.5л)</t>
  </si>
  <si>
    <r>
      <t xml:space="preserve">Площадь утепления,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</si>
  <si>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r>
      <t xml:space="preserve">Высота лаг,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</si>
  <si>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t>выберите из списка высоту лаг</t>
  </si>
  <si>
    <t>Калькулятор расчёта системы "Изовер Полы и перекрытия"</t>
  </si>
  <si>
    <t>Полы и Перекрытия</t>
  </si>
  <si>
    <t>Шпаклёвка для стыков ГСП Vetonit (Gyproc) FAST-60 (20 кг)</t>
  </si>
  <si>
    <t>Шпаклёвка для стыков ГСП Vetonit (Gyproc) Superflot (20 кг)</t>
  </si>
  <si>
    <t>ГСП повышенной прочности Vetonit (Gyproc) Стронг (3 м2)</t>
  </si>
  <si>
    <t>ГСП стандартная Vetonit (Gyproc) Оптима (3 м2)</t>
  </si>
  <si>
    <t>ГСП влагостойкая Vetonit (Gyproc) Аква Оптима (3м2)</t>
  </si>
  <si>
    <r>
      <t>ГСП повышенной прочности Vetonit (</t>
    </r>
    <r>
      <rPr>
        <sz val="11"/>
        <color theme="1"/>
        <rFont val="Calibri"/>
        <family val="2"/>
        <scheme val="minor"/>
      </rPr>
      <t>Gyproc) Стронг (3 м2)</t>
    </r>
  </si>
  <si>
    <r>
      <t>ГСП повышенной прочности влагостойкая Vetonit (</t>
    </r>
    <r>
      <rPr>
        <sz val="11"/>
        <color theme="1"/>
        <rFont val="Calibri"/>
        <family val="2"/>
        <scheme val="minor"/>
      </rPr>
      <t>Gyproc) АкваСтронг (3 м2)</t>
    </r>
  </si>
  <si>
    <t>Vetonit (Isover) Подвес Кровельный (уп.=50 шт.)</t>
  </si>
  <si>
    <t>Vetonit (Isover) Тёплая Крыша Стронг</t>
  </si>
  <si>
    <t>Vetonit (Isover) Каркас М34</t>
  </si>
  <si>
    <t>Профиль потолочный Vetonit (Gyproc) Ультра ПП 60/27 (3 мп)</t>
  </si>
  <si>
    <t>Профиль потолочный направляющий Vetonit (Gyproc) Ультра ППН 28/27 (3 мп)</t>
  </si>
  <si>
    <t>Уплотнительная лента Vetonit (Gyproc) Акустик Лента 30 мм (рул.= 30 мп)</t>
  </si>
  <si>
    <t>Лента для стыков ГСП Vetonit (Gyproc) Marco PRO (рул.=50 мп)</t>
  </si>
  <si>
    <t>Гидро-ветрозащитная мембрана Vetonit (Isover) Ветранет АМ (рул.=70 м2)</t>
  </si>
  <si>
    <t>Ветрозащитная плитная обшивка Vetonit (Gyproc) GTS-9 ветрозащитный (3 м2)</t>
  </si>
  <si>
    <t>Паро-Гидроизоляция плленка Vetonit (Isover) Гидранет D рул.=70 м2)</t>
  </si>
  <si>
    <t>Скотч для герметизации стыков Vetonit (Isover) КЛ Паранет (рул.=20мп)</t>
  </si>
  <si>
    <t>ГСП повышенной прочности влагостойкая Vetonit (Gyproc) АкваСтронг (3 м2)</t>
  </si>
  <si>
    <t>Vetonit (Isover) ПРОФИ</t>
  </si>
  <si>
    <t>Пароизоляционная мембрана Vetonit (Isover) Гидранет Д (рул.=70 м2)</t>
  </si>
  <si>
    <t>Скотч для герметизации стыков Vetonit (Isover) КЛ Паранет ДУО (рул.=20мп)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</si>
</sst>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0&quot;р.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b/>
      <sz val="11"/>
      <color theme="0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b/>
      <sz val="11"/>
      <color theme="8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sz val="9"/>
      <color theme="1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b/>
      <sz val="11"/>
      <color theme="5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sz val="10"/>
      <color theme="0"/>
      <name val="Calibri Light"/>
      <family val="2"/>
      <charset val="204"/>
      <scheme val="major"/>
    </font>
    <font>
      <b/>
      <sz val="11"/>
      <color theme="4" tint="0.59999389629810485"/>
      <name val="Calibri Light"/>
      <family val="2"/>
      <charset val="204"/>
      <scheme val="major"/>
    </font>
    <font>
      <b/>
      <sz val="11"/>
      <color theme="7" tint="0.59999389629810485"/>
      <name val="Calibri Light"/>
      <family val="2"/>
      <charset val="204"/>
      <scheme val="major"/>
    </font>
    <font>
      <i/>
      <sz val="11"/>
      <color theme="0"/>
      <name val="Calibri Light"/>
      <family val="2"/>
      <charset val="204"/>
      <scheme val="major"/>
    </font>
    <font>
      <b/>
      <i/>
      <sz val="11"/>
      <color theme="1"/>
      <name val="Calibri Light"/>
      <family val="2"/>
      <charset val="204"/>
      <scheme val="major"/>
    </font>
    <font>
      <b/>
      <sz val="26"/>
      <color theme="1"/>
      <name val="Calibri Light"/>
      <family val="2"/>
      <charset val="204"/>
      <scheme val="major"/>
    </font>
    <font>
      <b/>
      <sz val="28"/>
      <color theme="1"/>
      <name val="Calibri Light"/>
      <family val="2"/>
      <charset val="204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/>
    <xf numFmtId="0" fontId="3" fillId="3" borderId="1" xfId="0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wrapText="1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8" fillId="7" borderId="1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 applyProtection="1">
      <alignment horizontal="center" vertical="center"/>
      <protection locked="0"/>
    </xf>
    <xf numFmtId="164" fontId="7" fillId="7" borderId="3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64" fontId="8" fillId="7" borderId="1" xfId="0" applyNumberFormat="1" applyFont="1" applyFill="1" applyBorder="1" applyAlignment="1" applyProtection="1">
      <alignment horizontal="center"/>
      <protection locked="0"/>
    </xf>
    <xf numFmtId="164" fontId="8" fillId="7" borderId="3" xfId="0" applyNumberFormat="1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164" fontId="8" fillId="7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8" fillId="7" borderId="13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64" fontId="8" fillId="7" borderId="14" xfId="0" applyNumberFormat="1" applyFont="1" applyFill="1" applyBorder="1" applyAlignment="1" applyProtection="1">
      <alignment horizontal="center" vertical="center"/>
      <protection locked="0"/>
    </xf>
    <xf numFmtId="164" fontId="8" fillId="7" borderId="16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164" fontId="8" fillId="7" borderId="23" xfId="0" applyNumberFormat="1" applyFont="1" applyFill="1" applyBorder="1" applyAlignment="1" applyProtection="1">
      <alignment horizontal="center" vertical="center"/>
      <protection locked="0"/>
    </xf>
    <xf numFmtId="164" fontId="7" fillId="7" borderId="24" xfId="0" applyNumberFormat="1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 vertical="center"/>
    </xf>
    <xf numFmtId="0" fontId="3" fillId="8" borderId="25" xfId="0" applyFont="1" applyFill="1" applyBorder="1" applyAlignment="1">
      <alignment vertical="center"/>
    </xf>
    <xf numFmtId="0" fontId="2" fillId="0" borderId="25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7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 applyProtection="1">
      <alignment horizontal="left" vertical="center" wrapText="1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2" fillId="9" borderId="0" xfId="0" applyFont="1" applyFill="1"/>
    <xf numFmtId="0" fontId="2" fillId="10" borderId="0" xfId="0" applyFont="1" applyFill="1"/>
    <xf numFmtId="0" fontId="2" fillId="0" borderId="26" xfId="0" applyFont="1" applyBorder="1"/>
    <xf numFmtId="0" fontId="16" fillId="0" borderId="0" xfId="0" applyFont="1" applyAlignment="1">
      <alignment horizontal="right"/>
    </xf>
    <xf numFmtId="0" fontId="4" fillId="0" borderId="26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164" fontId="4" fillId="11" borderId="0" xfId="0" applyNumberFormat="1" applyFont="1" applyFill="1"/>
    <xf numFmtId="0" fontId="4" fillId="0" borderId="0" xfId="0" applyFont="1" applyAlignment="1">
      <alignment horizontal="right"/>
    </xf>
    <xf numFmtId="0" fontId="4" fillId="11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2" fillId="9" borderId="0" xfId="0" applyFont="1" applyFill="1" applyAlignment="1">
      <alignment horizontal="left" wrapText="1"/>
    </xf>
    <xf numFmtId="0" fontId="2" fillId="10" borderId="0" xfId="0" applyFont="1" applyFill="1" applyAlignment="1">
      <alignment horizontal="left"/>
    </xf>
    <xf numFmtId="0" fontId="2" fillId="10" borderId="0" xfId="0" applyFont="1" applyFill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99784</xdr:rowOff>
    </xdr:from>
    <xdr:to>
      <xdr:col>0</xdr:col>
      <xdr:colOff>2083874</xdr:colOff>
      <xdr:row>8</xdr:row>
      <xdr:rowOff>92979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4652C7-D5BB-4DD9-A6EA-9C7ADFEAA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06927"/>
          <a:ext cx="1900994" cy="89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108856</xdr:colOff>
      <xdr:row>10</xdr:row>
      <xdr:rowOff>172357</xdr:rowOff>
    </xdr:from>
    <xdr:to>
      <xdr:col>0</xdr:col>
      <xdr:colOff>2091914</xdr:colOff>
      <xdr:row>15</xdr:row>
      <xdr:rowOff>93435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69E7B0-55E6-4F67-8D32-C490E3A6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6" y="2349500"/>
          <a:ext cx="1983058" cy="840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409979</xdr:colOff>
      <xdr:row>9</xdr:row>
      <xdr:rowOff>173113</xdr:rowOff>
    </xdr:from>
    <xdr:to>
      <xdr:col>0</xdr:col>
      <xdr:colOff>1882589</xdr:colOff>
      <xdr:row>15</xdr:row>
      <xdr:rowOff>136998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756A80-1CED-76C5-A879-985BF19AA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79" y="2324642"/>
          <a:ext cx="1472610" cy="1476206"/>
        </a:xfrm>
        <a:prstGeom prst="rect">
          <a:avLst/>
        </a:prstGeom>
      </xdr:spPr>
    </xdr:pic>
    <xdr:clientData/>
  </xdr:twoCellAnchor>
  <xdr:twoCellAnchor editAs="oneCell">
    <xdr:from>
      <xdr:col>0</xdr:col>
      <xdr:colOff>515472</xdr:colOff>
      <xdr:row>3</xdr:row>
      <xdr:rowOff>89648</xdr:rowOff>
    </xdr:from>
    <xdr:to>
      <xdr:col>0</xdr:col>
      <xdr:colOff>1792942</xdr:colOff>
      <xdr:row>8</xdr:row>
      <xdr:rowOff>144002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25494BE-73F5-A76D-D072-4280BDB45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" b="2818"/>
        <a:stretch/>
      </xdr:blipFill>
      <xdr:spPr>
        <a:xfrm>
          <a:off x="515472" y="907677"/>
          <a:ext cx="1277470" cy="11973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234462</xdr:colOff>
      <xdr:row>3</xdr:row>
      <xdr:rowOff>124558</xdr:rowOff>
    </xdr:from>
    <xdr:to>
      <xdr:col>0</xdr:col>
      <xdr:colOff>1729154</xdr:colOff>
      <xdr:row>7</xdr:row>
      <xdr:rowOff>271096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6FC30E-A3E4-BBD1-0999-3F5ED51D1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26" t="31380" r="5813" b="17342"/>
        <a:stretch/>
      </xdr:blipFill>
      <xdr:spPr>
        <a:xfrm>
          <a:off x="234462" y="937846"/>
          <a:ext cx="1494692" cy="9085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2:D5" totalsRowShown="0">
  <autoFilter ref="B2:D5" xr:uid="{00000000-0009-0000-0100-000001000000}"/>
  <tableColumns count="3">
    <tableColumn id="1" xr3:uid="{00000000-0010-0000-0000-000001000000}" name="Регион строительства" dataDxfId="20"/>
    <tableColumn id="2" xr3:uid="{00000000-0010-0000-0000-000002000000}" name="Рекомендованная толщина утепления, мм" dataDxfId="19"/>
    <tableColumn id="3" xr3:uid="{00000000-0010-0000-0000-000003000000}" name="Округление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G2:G5" totalsRowShown="0" headerRowDxfId="17" dataDxfId="16">
  <autoFilter ref="G2:G5" xr:uid="{00000000-0009-0000-0100-000002000000}"/>
  <tableColumns count="1">
    <tableColumn id="1" xr3:uid="{00000000-0010-0000-0100-000001000000}" name="Высота стропил, мм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24" displayName="Таблица24" ref="I2:J4" totalsRowShown="0" headerRowDxfId="14" dataDxfId="13">
  <autoFilter ref="I2:J4" xr:uid="{00000000-0009-0000-0100-000003000000}"/>
  <tableColumns count="2">
    <tableColumn id="1" xr3:uid="{00000000-0010-0000-0200-000001000000}" name="Отделка ГСП" dataDxfId="12"/>
    <tableColumn id="2" xr3:uid="{00000000-0010-0000-0200-000002000000}" name="Шпаклевка для стыков" dataDxfId="1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256" displayName="Таблица256" ref="G10:H16" totalsRowShown="0" headerRowDxfId="10" dataDxfId="9">
  <autoFilter ref="G10:H16" xr:uid="{00000000-0009-0000-0100-000005000000}"/>
  <tableColumns count="2">
    <tableColumn id="1" xr3:uid="{00000000-0010-0000-0400-000001000000}" name="ГСП" dataDxfId="8"/>
    <tableColumn id="2" xr3:uid="{00000000-0010-0000-0400-000002000000}" name="толщина" dataDxfId="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Таблица6" displayName="Таблица6" ref="G18:H22" totalsRowShown="0" headerRowDxfId="6" dataDxfId="5">
  <autoFilter ref="G18:H22" xr:uid="{00000000-0009-0000-0100-000006000000}"/>
  <tableColumns count="2">
    <tableColumn id="1" xr3:uid="{00000000-0010-0000-0500-000001000000}" name="Доутепление" dataDxfId="4"/>
    <tableColumn id="2" xr3:uid="{00000000-0010-0000-0500-000002000000}" name="Подвес" dataDxfId="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Таблица132" displayName="Таблица132" ref="G24:G29" totalsRowShown="0" headerRowDxfId="2" dataDxfId="1">
  <autoFilter ref="G24:G29" xr:uid="{00000000-0009-0000-0100-000007000000}"/>
  <tableColumns count="1">
    <tableColumn id="1" xr3:uid="{00000000-0010-0000-0600-000001000000}" name="Систем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opLeftCell="A3" zoomScaleNormal="100" zoomScaleSheetLayoutView="70" workbookViewId="0">
      <selection activeCell="B18" sqref="B18"/>
    </sheetView>
  </sheetViews>
  <sheetFormatPr defaultColWidth="8.6640625" defaultRowHeight="14.4" outlineLevelRow="1" outlineLevelCol="1" x14ac:dyDescent="0.3"/>
  <cols>
    <col min="1" max="1" width="32.44140625" style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88671875" style="1" bestFit="1" customWidth="1" outlineLevel="1"/>
    <col min="9" max="9" width="10.5546875" style="1" customWidth="1" outlineLevel="1"/>
    <col min="10" max="10" width="6.5546875" style="1" customWidth="1"/>
    <col min="11" max="11" width="7.88671875" style="1" customWidth="1"/>
    <col min="12" max="12" width="8" style="1" bestFit="1" customWidth="1"/>
    <col min="13" max="13" width="14.88671875" style="1" customWidth="1"/>
    <col min="14" max="14" width="31.44140625" style="1" customWidth="1"/>
    <col min="15" max="15" width="8.6640625" style="1" hidden="1" customWidth="1"/>
    <col min="16" max="16" width="8.109375" style="1" hidden="1" customWidth="1"/>
    <col min="17" max="16384" width="8.6640625" style="1"/>
  </cols>
  <sheetData>
    <row r="2" spans="1:16" ht="42.9" customHeight="1" x14ac:dyDescent="0.3">
      <c r="A2" s="139" t="s">
        <v>94</v>
      </c>
      <c r="B2" s="139"/>
      <c r="C2" s="139"/>
      <c r="D2" s="139"/>
      <c r="E2" s="139"/>
      <c r="O2" s="1" t="s">
        <v>78</v>
      </c>
      <c r="P2" s="1">
        <v>4444</v>
      </c>
    </row>
    <row r="3" spans="1:16" x14ac:dyDescent="0.3">
      <c r="A3" s="104" t="s">
        <v>88</v>
      </c>
      <c r="B3" s="17" t="s">
        <v>60</v>
      </c>
      <c r="C3" s="146" t="s">
        <v>90</v>
      </c>
      <c r="D3" s="146"/>
      <c r="E3" s="146"/>
    </row>
    <row r="4" spans="1:16" x14ac:dyDescent="0.3">
      <c r="A4" s="140"/>
      <c r="B4" s="113" t="s">
        <v>59</v>
      </c>
      <c r="C4" s="113"/>
      <c r="D4" s="113"/>
      <c r="E4" s="113"/>
    </row>
    <row r="5" spans="1:16" x14ac:dyDescent="0.3">
      <c r="A5" s="140"/>
      <c r="B5" s="30" t="s">
        <v>61</v>
      </c>
      <c r="C5" s="114">
        <v>200</v>
      </c>
      <c r="D5" s="114"/>
      <c r="E5" s="114"/>
      <c r="F5" s="100"/>
      <c r="G5" s="100"/>
      <c r="H5" s="100"/>
      <c r="I5" s="100"/>
      <c r="J5" s="143" t="s">
        <v>81</v>
      </c>
      <c r="K5" s="143"/>
      <c r="L5" s="143"/>
      <c r="M5" s="143"/>
    </row>
    <row r="6" spans="1:16" x14ac:dyDescent="0.3">
      <c r="A6" s="140"/>
      <c r="B6" s="30" t="s">
        <v>5</v>
      </c>
      <c r="C6" s="149">
        <f>IF(C3="Стандартная","-",C5)</f>
        <v>200</v>
      </c>
      <c r="D6" s="150"/>
      <c r="E6" s="151"/>
      <c r="F6" s="100"/>
      <c r="G6" s="100"/>
      <c r="H6" s="100"/>
      <c r="I6" s="100"/>
      <c r="J6" s="143"/>
      <c r="K6" s="143"/>
      <c r="L6" s="143"/>
      <c r="M6" s="143"/>
    </row>
    <row r="7" spans="1:16" x14ac:dyDescent="0.3">
      <c r="A7" s="140"/>
      <c r="B7" s="113" t="s">
        <v>100</v>
      </c>
      <c r="C7" s="113"/>
      <c r="D7" s="113"/>
      <c r="E7" s="113"/>
    </row>
    <row r="8" spans="1:16" x14ac:dyDescent="0.3">
      <c r="A8" s="140"/>
      <c r="B8" s="30" t="s">
        <v>61</v>
      </c>
      <c r="C8" s="114">
        <v>300</v>
      </c>
      <c r="D8" s="114"/>
      <c r="E8" s="114"/>
      <c r="F8" s="101"/>
      <c r="G8" s="101"/>
      <c r="H8" s="101"/>
      <c r="I8" s="101"/>
      <c r="J8" s="144" t="s">
        <v>82</v>
      </c>
      <c r="K8" s="144"/>
      <c r="L8" s="144"/>
      <c r="M8" s="144"/>
    </row>
    <row r="9" spans="1:16" x14ac:dyDescent="0.3">
      <c r="A9" s="140"/>
      <c r="B9" s="30" t="s">
        <v>62</v>
      </c>
      <c r="C9" s="152">
        <v>200</v>
      </c>
      <c r="D9" s="153"/>
      <c r="E9" s="154"/>
      <c r="F9" s="101"/>
      <c r="G9" s="101"/>
      <c r="H9" s="101"/>
      <c r="I9" s="101"/>
      <c r="J9" s="144" t="s">
        <v>83</v>
      </c>
      <c r="K9" s="144"/>
      <c r="L9" s="144"/>
      <c r="M9" s="144"/>
    </row>
    <row r="10" spans="1:16" x14ac:dyDescent="0.3">
      <c r="A10" s="104" t="s">
        <v>89</v>
      </c>
      <c r="B10" s="30" t="s">
        <v>58</v>
      </c>
      <c r="C10" s="147">
        <f>IF(C3="Оптимальная",C8-C9,0)</f>
        <v>100</v>
      </c>
      <c r="D10" s="147"/>
      <c r="E10" s="147"/>
      <c r="F10" s="101"/>
      <c r="G10" s="101"/>
      <c r="H10" s="101"/>
      <c r="I10" s="101"/>
      <c r="J10" s="145" t="s">
        <v>84</v>
      </c>
      <c r="K10" s="145"/>
      <c r="L10" s="145"/>
      <c r="M10" s="145"/>
    </row>
    <row r="11" spans="1:16" x14ac:dyDescent="0.3">
      <c r="A11" s="141"/>
      <c r="B11" s="30" t="s">
        <v>63</v>
      </c>
      <c r="C11" s="148">
        <v>100</v>
      </c>
      <c r="D11" s="148"/>
      <c r="E11" s="148"/>
      <c r="F11" s="101"/>
      <c r="G11" s="101"/>
      <c r="H11" s="101"/>
      <c r="I11" s="101"/>
      <c r="J11" s="144" t="s">
        <v>85</v>
      </c>
      <c r="K11" s="144"/>
      <c r="L11" s="144"/>
      <c r="M11" s="144"/>
    </row>
    <row r="12" spans="1:16" ht="15" thickBot="1" x14ac:dyDescent="0.35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6" ht="15" thickBot="1" x14ac:dyDescent="0.35">
      <c r="A13" s="141"/>
      <c r="B13" s="126" t="s">
        <v>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8"/>
    </row>
    <row r="14" spans="1:16" ht="27.6" x14ac:dyDescent="0.3">
      <c r="A14" s="141"/>
      <c r="B14" s="20" t="s">
        <v>12</v>
      </c>
      <c r="C14" s="21" t="s">
        <v>19</v>
      </c>
      <c r="D14" s="21" t="s">
        <v>22</v>
      </c>
      <c r="E14" s="22" t="s">
        <v>20</v>
      </c>
      <c r="F14" s="27" t="s">
        <v>13</v>
      </c>
      <c r="G14" s="21" t="s">
        <v>21</v>
      </c>
      <c r="H14" s="21" t="s">
        <v>51</v>
      </c>
      <c r="I14" s="25" t="s">
        <v>52</v>
      </c>
      <c r="J14" s="20" t="s">
        <v>13</v>
      </c>
      <c r="K14" s="21" t="s">
        <v>21</v>
      </c>
      <c r="L14" s="21" t="s">
        <v>51</v>
      </c>
      <c r="M14" s="22" t="s">
        <v>52</v>
      </c>
    </row>
    <row r="15" spans="1:16" x14ac:dyDescent="0.3">
      <c r="A15" s="141"/>
      <c r="B15" s="132"/>
      <c r="C15" s="130"/>
      <c r="D15" s="130"/>
      <c r="E15" s="133"/>
      <c r="F15" s="129" t="s">
        <v>53</v>
      </c>
      <c r="G15" s="130"/>
      <c r="H15" s="130"/>
      <c r="I15" s="131"/>
      <c r="J15" s="132" t="s">
        <v>54</v>
      </c>
      <c r="K15" s="130"/>
      <c r="L15" s="130"/>
      <c r="M15" s="133"/>
    </row>
    <row r="16" spans="1:16" x14ac:dyDescent="0.3">
      <c r="A16" s="141"/>
      <c r="B16" s="115" t="s">
        <v>11</v>
      </c>
      <c r="C16" s="116"/>
      <c r="D16" s="116"/>
      <c r="E16" s="117"/>
      <c r="F16" s="137"/>
      <c r="G16" s="116"/>
      <c r="H16" s="116"/>
      <c r="I16" s="138"/>
      <c r="J16" s="115"/>
      <c r="K16" s="116"/>
      <c r="L16" s="116"/>
      <c r="M16" s="117"/>
    </row>
    <row r="17" spans="1:14" ht="27.6" x14ac:dyDescent="0.3">
      <c r="B17" s="28" t="s">
        <v>126</v>
      </c>
      <c r="C17" s="11">
        <v>1.1000000000000001</v>
      </c>
      <c r="D17" s="11" t="s">
        <v>23</v>
      </c>
      <c r="E17" s="29" t="s">
        <v>24</v>
      </c>
      <c r="F17" s="19">
        <f>C17*$C11</f>
        <v>110.00000000000001</v>
      </c>
      <c r="G17" s="11" t="s">
        <v>25</v>
      </c>
      <c r="H17" s="31">
        <v>0</v>
      </c>
      <c r="I17" s="26">
        <f>H17*F17</f>
        <v>0</v>
      </c>
      <c r="J17" s="23">
        <f>ROUNDUP(F17/70,0)</f>
        <v>2</v>
      </c>
      <c r="K17" s="11" t="s">
        <v>26</v>
      </c>
      <c r="L17" s="31">
        <v>0</v>
      </c>
      <c r="M17" s="24">
        <f>L17*J17</f>
        <v>0</v>
      </c>
    </row>
    <row r="18" spans="1:14" x14ac:dyDescent="0.3">
      <c r="A18" s="103" t="s">
        <v>80</v>
      </c>
      <c r="B18" s="91" t="s">
        <v>120</v>
      </c>
      <c r="C18" s="11">
        <v>1.03</v>
      </c>
      <c r="D18" s="11" t="s">
        <v>23</v>
      </c>
      <c r="E18" s="29">
        <f>IF(C3="Оптимальная",C9,C5)</f>
        <v>200</v>
      </c>
      <c r="F18" s="19">
        <f>C18*$C11</f>
        <v>103</v>
      </c>
      <c r="G18" s="11" t="s">
        <v>25</v>
      </c>
      <c r="H18" s="31">
        <v>0</v>
      </c>
      <c r="I18" s="26">
        <f t="shared" ref="I18:I23" si="0">H18*F18</f>
        <v>0</v>
      </c>
      <c r="J18" s="23">
        <f>ROUNDUP(F18*E18/1000,0)</f>
        <v>21</v>
      </c>
      <c r="K18" s="11" t="s">
        <v>27</v>
      </c>
      <c r="L18" s="31">
        <v>0</v>
      </c>
      <c r="M18" s="24">
        <f>L18*J18</f>
        <v>0</v>
      </c>
    </row>
    <row r="19" spans="1:14" x14ac:dyDescent="0.3">
      <c r="B19" s="33" t="str">
        <f>B18 &amp; "(доутепление)"</f>
        <v>Vetonit (Isover) Тёплая Крыша Стронг(доутепление)</v>
      </c>
      <c r="C19" s="34">
        <f>IF(C3="Оптимальная",'База данных'!H39,"0")</f>
        <v>1.03</v>
      </c>
      <c r="D19" s="34" t="str">
        <f>IF(C3="Оптимальная",'База данных'!I39,"-")</f>
        <v>м2/м2</v>
      </c>
      <c r="E19" s="35">
        <f>IF(C3="Оптимальная",'База данных'!J39,"-")</f>
        <v>100</v>
      </c>
      <c r="F19" s="36">
        <f>IF(C3="Оптимальная",'База данных'!K39,"0")</f>
        <v>103</v>
      </c>
      <c r="G19" s="34" t="str">
        <f>IF(C3="Оптимальная",'База данных'!L39,"-")</f>
        <v>м2</v>
      </c>
      <c r="H19" s="37">
        <v>0</v>
      </c>
      <c r="I19" s="38">
        <f>IF(C3="Оптимальная",F19*H19,"-")</f>
        <v>0</v>
      </c>
      <c r="J19" s="39">
        <f>IF(C3="Оптимальная",'База данных'!M39,"0")</f>
        <v>11</v>
      </c>
      <c r="K19" s="34" t="str">
        <f>IF(C3="Оптимальная",'База данных'!N39,"-")</f>
        <v>м3</v>
      </c>
      <c r="L19" s="37">
        <v>0</v>
      </c>
      <c r="M19" s="40">
        <f>IF($C$3="Оптимальная",L19*J19,"0.00р.")</f>
        <v>0</v>
      </c>
      <c r="N19" s="112" t="s">
        <v>93</v>
      </c>
    </row>
    <row r="20" spans="1:14" x14ac:dyDescent="0.3">
      <c r="B20" s="33" t="s">
        <v>64</v>
      </c>
      <c r="C20" s="34">
        <f>IF(C10&gt;0,4,0)</f>
        <v>4</v>
      </c>
      <c r="D20" s="34" t="str">
        <f>IF(C10&gt;0,"шт./м2","-")</f>
        <v>шт./м2</v>
      </c>
      <c r="E20" s="35" t="s">
        <v>24</v>
      </c>
      <c r="F20" s="36">
        <f>IF(C10&gt;0,C20*$C11,"0")</f>
        <v>400</v>
      </c>
      <c r="G20" s="34" t="str">
        <f>IF(C10&gt;0,"шт.","-")</f>
        <v>шт.</v>
      </c>
      <c r="H20" s="37">
        <v>0</v>
      </c>
      <c r="I20" s="38">
        <f>IF(C10&gt;0,H20*F20,"-")</f>
        <v>0</v>
      </c>
      <c r="J20" s="39">
        <f>ROUNDUP(F20/50,0)</f>
        <v>8</v>
      </c>
      <c r="K20" s="34" t="str">
        <f>IF(C3="Оптимальная","уп.","-")</f>
        <v>уп.</v>
      </c>
      <c r="L20" s="37">
        <v>0</v>
      </c>
      <c r="M20" s="40">
        <f>L20*J20</f>
        <v>0</v>
      </c>
      <c r="N20" s="112"/>
    </row>
    <row r="21" spans="1:14" ht="27.6" x14ac:dyDescent="0.3">
      <c r="B21" s="28" t="s">
        <v>132</v>
      </c>
      <c r="C21" s="11">
        <v>1.1000000000000001</v>
      </c>
      <c r="D21" s="11" t="s">
        <v>23</v>
      </c>
      <c r="E21" s="29" t="s">
        <v>24</v>
      </c>
      <c r="F21" s="19">
        <f>C21*$C11</f>
        <v>110.00000000000001</v>
      </c>
      <c r="G21" s="11" t="s">
        <v>25</v>
      </c>
      <c r="H21" s="31">
        <v>0</v>
      </c>
      <c r="I21" s="26">
        <f t="shared" si="0"/>
        <v>0</v>
      </c>
      <c r="J21" s="23">
        <f>ROUNDUP(F21/70,0)</f>
        <v>2</v>
      </c>
      <c r="K21" s="11" t="s">
        <v>26</v>
      </c>
      <c r="L21" s="31">
        <v>0</v>
      </c>
      <c r="M21" s="24">
        <f>L21*J21</f>
        <v>0</v>
      </c>
    </row>
    <row r="22" spans="1:14" ht="27.6" x14ac:dyDescent="0.3">
      <c r="B22" s="28" t="s">
        <v>133</v>
      </c>
      <c r="C22" s="11">
        <v>2.8</v>
      </c>
      <c r="D22" s="11" t="s">
        <v>30</v>
      </c>
      <c r="E22" s="29" t="s">
        <v>24</v>
      </c>
      <c r="F22" s="19">
        <f>C22*$C11</f>
        <v>280</v>
      </c>
      <c r="G22" s="11" t="s">
        <v>31</v>
      </c>
      <c r="H22" s="31">
        <v>0</v>
      </c>
      <c r="I22" s="26">
        <f t="shared" si="0"/>
        <v>0</v>
      </c>
      <c r="J22" s="23">
        <f>ROUNDUP(F22/20,0)</f>
        <v>14</v>
      </c>
      <c r="K22" s="11" t="s">
        <v>26</v>
      </c>
      <c r="L22" s="31">
        <v>0</v>
      </c>
      <c r="M22" s="24">
        <f>L22*J22</f>
        <v>0</v>
      </c>
    </row>
    <row r="23" spans="1:14" ht="27.6" x14ac:dyDescent="0.3">
      <c r="B23" s="28" t="s">
        <v>105</v>
      </c>
      <c r="C23" s="11">
        <f>0.42*0.2</f>
        <v>8.4000000000000005E-2</v>
      </c>
      <c r="D23" s="11" t="s">
        <v>32</v>
      </c>
      <c r="E23" s="29" t="s">
        <v>24</v>
      </c>
      <c r="F23" s="19">
        <f>C23*$C11</f>
        <v>8.4</v>
      </c>
      <c r="G23" s="11" t="s">
        <v>33</v>
      </c>
      <c r="H23" s="31">
        <v>0</v>
      </c>
      <c r="I23" s="26">
        <f t="shared" si="0"/>
        <v>0</v>
      </c>
      <c r="J23" s="23">
        <f>ROUNDUP(F23/0.5,0)</f>
        <v>17</v>
      </c>
      <c r="K23" s="11" t="s">
        <v>106</v>
      </c>
      <c r="L23" s="31">
        <v>0</v>
      </c>
      <c r="M23" s="24">
        <f>L23*J23</f>
        <v>0</v>
      </c>
    </row>
    <row r="24" spans="1:14" outlineLevel="1" x14ac:dyDescent="0.3">
      <c r="B24" s="115" t="s">
        <v>91</v>
      </c>
      <c r="C24" s="116"/>
      <c r="D24" s="116"/>
      <c r="E24" s="117"/>
      <c r="F24" s="118"/>
      <c r="G24" s="119"/>
      <c r="H24" s="119"/>
      <c r="I24" s="120"/>
      <c r="J24" s="121"/>
      <c r="K24" s="119"/>
      <c r="L24" s="119"/>
      <c r="M24" s="122"/>
    </row>
    <row r="25" spans="1:14" outlineLevel="1" x14ac:dyDescent="0.3">
      <c r="A25" s="103" t="s">
        <v>80</v>
      </c>
      <c r="B25" s="93" t="s">
        <v>116</v>
      </c>
      <c r="C25" s="41">
        <f>IF(C3="Оптимальная",'База данных'!M3,"-")</f>
        <v>1</v>
      </c>
      <c r="D25" s="41" t="s">
        <v>23</v>
      </c>
      <c r="E25" s="42">
        <f>VLOOKUP(B25,Таблица256[],2,0)</f>
        <v>12.5</v>
      </c>
      <c r="F25" s="43">
        <f>IF(C3="Оптимальная",C25*C11,"0")</f>
        <v>100</v>
      </c>
      <c r="G25" s="44" t="s">
        <v>25</v>
      </c>
      <c r="H25" s="45">
        <v>0</v>
      </c>
      <c r="I25" s="46">
        <f>H25*F25</f>
        <v>0</v>
      </c>
      <c r="J25" s="47">
        <f>ROUNDUP(F25/3,0)</f>
        <v>34</v>
      </c>
      <c r="K25" s="44" t="s">
        <v>29</v>
      </c>
      <c r="L25" s="48">
        <v>0</v>
      </c>
      <c r="M25" s="40">
        <f>IF($C$3="Оптимальная",L25*J25,"0")</f>
        <v>0</v>
      </c>
      <c r="N25" s="112" t="s">
        <v>93</v>
      </c>
    </row>
    <row r="26" spans="1:14" ht="15.9" customHeight="1" outlineLevel="1" x14ac:dyDescent="0.3">
      <c r="B26" s="33" t="s">
        <v>122</v>
      </c>
      <c r="C26" s="41">
        <f>IF(C3="Оптимальная",'База данных'!N3,"-")</f>
        <v>2</v>
      </c>
      <c r="D26" s="41" t="s">
        <v>30</v>
      </c>
      <c r="E26" s="49" t="s">
        <v>24</v>
      </c>
      <c r="F26" s="50">
        <f>IF(C3="Оптимальная",C26*C11,"0")</f>
        <v>200</v>
      </c>
      <c r="G26" s="41" t="s">
        <v>31</v>
      </c>
      <c r="H26" s="48">
        <v>0</v>
      </c>
      <c r="I26" s="51">
        <f t="shared" ref="I26:I30" si="1">H26*F26</f>
        <v>0</v>
      </c>
      <c r="J26" s="52">
        <f>ROUNDUP(F26/3,0)</f>
        <v>67</v>
      </c>
      <c r="K26" s="41" t="s">
        <v>29</v>
      </c>
      <c r="L26" s="48">
        <v>0</v>
      </c>
      <c r="M26" s="40">
        <f>IF($C$3="Оптимальная",L26*J26,"0")</f>
        <v>0</v>
      </c>
      <c r="N26" s="112"/>
    </row>
    <row r="27" spans="1:14" ht="27.6" outlineLevel="1" x14ac:dyDescent="0.3">
      <c r="B27" s="33" t="s">
        <v>123</v>
      </c>
      <c r="C27" s="41">
        <f>IF(C3="Оптимальная",'База данных'!O3,"-")</f>
        <v>1.1000000000000001</v>
      </c>
      <c r="D27" s="41" t="s">
        <v>30</v>
      </c>
      <c r="E27" s="49" t="s">
        <v>24</v>
      </c>
      <c r="F27" s="50">
        <f>IF(C3="Оптимальная",C27*C11,"0")</f>
        <v>110.00000000000001</v>
      </c>
      <c r="G27" s="41" t="s">
        <v>31</v>
      </c>
      <c r="H27" s="48">
        <v>0</v>
      </c>
      <c r="I27" s="51">
        <f t="shared" si="1"/>
        <v>0</v>
      </c>
      <c r="J27" s="52">
        <f>ROUNDUP(F27/3,0)</f>
        <v>37</v>
      </c>
      <c r="K27" s="41" t="s">
        <v>29</v>
      </c>
      <c r="L27" s="48">
        <v>0</v>
      </c>
      <c r="M27" s="40">
        <f>IF($C$3="Оптимальная",L27*J27,"0")</f>
        <v>0</v>
      </c>
      <c r="N27" s="112"/>
    </row>
    <row r="28" spans="1:14" outlineLevel="1" x14ac:dyDescent="0.3">
      <c r="B28" s="33" t="s">
        <v>17</v>
      </c>
      <c r="C28" s="41" t="str">
        <f>IF(C3="Оптимальная",'База данных'!Q3,"-")</f>
        <v>по расчёту</v>
      </c>
      <c r="D28" s="41" t="s">
        <v>28</v>
      </c>
      <c r="E28" s="49" t="s">
        <v>24</v>
      </c>
      <c r="F28" s="50"/>
      <c r="G28" s="41" t="s">
        <v>29</v>
      </c>
      <c r="H28" s="48">
        <v>0</v>
      </c>
      <c r="I28" s="46">
        <f t="shared" si="1"/>
        <v>0</v>
      </c>
      <c r="J28" s="134" t="s">
        <v>24</v>
      </c>
      <c r="K28" s="135"/>
      <c r="L28" s="135"/>
      <c r="M28" s="136"/>
      <c r="N28" s="112"/>
    </row>
    <row r="29" spans="1:14" outlineLevel="1" x14ac:dyDescent="0.3">
      <c r="B29" s="33" t="s">
        <v>18</v>
      </c>
      <c r="C29" s="41" t="str">
        <f>IF(C3="Оптимальная",'База данных'!R3,"-")</f>
        <v>по расчёту</v>
      </c>
      <c r="D29" s="41" t="s">
        <v>28</v>
      </c>
      <c r="E29" s="49" t="s">
        <v>24</v>
      </c>
      <c r="F29" s="50"/>
      <c r="G29" s="41" t="s">
        <v>29</v>
      </c>
      <c r="H29" s="48">
        <v>0</v>
      </c>
      <c r="I29" s="46">
        <f t="shared" si="1"/>
        <v>0</v>
      </c>
      <c r="J29" s="134" t="s">
        <v>24</v>
      </c>
      <c r="K29" s="135"/>
      <c r="L29" s="135"/>
      <c r="M29" s="136"/>
      <c r="N29" s="112"/>
    </row>
    <row r="30" spans="1:14" ht="27.6" outlineLevel="1" x14ac:dyDescent="0.3">
      <c r="B30" s="33" t="s">
        <v>124</v>
      </c>
      <c r="C30" s="41">
        <f>IF(C3="Оптимальная",'База данных'!O3,"-")</f>
        <v>1.1000000000000001</v>
      </c>
      <c r="D30" s="41" t="s">
        <v>30</v>
      </c>
      <c r="E30" s="49" t="s">
        <v>24</v>
      </c>
      <c r="F30" s="50">
        <f>IF(C3="Оптимальная",C30*C11,"0")</f>
        <v>110.00000000000001</v>
      </c>
      <c r="G30" s="41" t="s">
        <v>31</v>
      </c>
      <c r="H30" s="48">
        <v>0</v>
      </c>
      <c r="I30" s="46">
        <f t="shared" si="1"/>
        <v>0</v>
      </c>
      <c r="J30" s="52">
        <f>ROUNDUP(F30/30,0)</f>
        <v>4</v>
      </c>
      <c r="K30" s="41" t="s">
        <v>26</v>
      </c>
      <c r="L30" s="48">
        <v>0</v>
      </c>
      <c r="M30" s="40">
        <f>IF($C$3="Оптимальная",L30*J30,"0")</f>
        <v>0</v>
      </c>
      <c r="N30" s="112"/>
    </row>
    <row r="31" spans="1:14" outlineLevel="1" x14ac:dyDescent="0.3">
      <c r="B31" s="115" t="s">
        <v>92</v>
      </c>
      <c r="C31" s="116"/>
      <c r="D31" s="116"/>
      <c r="E31" s="117"/>
      <c r="F31" s="118"/>
      <c r="G31" s="119"/>
      <c r="H31" s="119"/>
      <c r="I31" s="120"/>
      <c r="J31" s="121"/>
      <c r="K31" s="119"/>
      <c r="L31" s="119"/>
      <c r="M31" s="122"/>
    </row>
    <row r="32" spans="1:14" outlineLevel="1" x14ac:dyDescent="0.3">
      <c r="B32" s="33" t="s">
        <v>37</v>
      </c>
      <c r="C32" s="41">
        <f>IF(C3="Оптимальная",'База данных'!M9,"-")</f>
        <v>0.2</v>
      </c>
      <c r="D32" s="41" t="s">
        <v>32</v>
      </c>
      <c r="E32" s="49" t="s">
        <v>24</v>
      </c>
      <c r="F32" s="50">
        <f>IF($C$3="Оптимальная",C32*$C$11,"0")</f>
        <v>20</v>
      </c>
      <c r="G32" s="41" t="s">
        <v>33</v>
      </c>
      <c r="H32" s="48">
        <v>0</v>
      </c>
      <c r="I32" s="51">
        <f>H32*F32</f>
        <v>0</v>
      </c>
      <c r="J32" s="52">
        <f>ROUNDUP(F32/10,0)</f>
        <v>2</v>
      </c>
      <c r="K32" s="41" t="s">
        <v>43</v>
      </c>
      <c r="L32" s="48">
        <v>0</v>
      </c>
      <c r="M32" s="40">
        <f>IF($C$3="Оптимальная",L32*J32,"0")</f>
        <v>0</v>
      </c>
      <c r="N32" s="112" t="s">
        <v>93</v>
      </c>
    </row>
    <row r="33" spans="2:14" outlineLevel="1" x14ac:dyDescent="0.3">
      <c r="B33" s="33" t="s">
        <v>113</v>
      </c>
      <c r="C33" s="41">
        <f>IF(C3="Оптимальная",'База данных'!N9,"-")</f>
        <v>0.3</v>
      </c>
      <c r="D33" s="41" t="s">
        <v>40</v>
      </c>
      <c r="E33" s="49" t="s">
        <v>24</v>
      </c>
      <c r="F33" s="50">
        <f>IF($C$3="Оптимальная",C33*$C$11,"0")</f>
        <v>30</v>
      </c>
      <c r="G33" s="41" t="s">
        <v>42</v>
      </c>
      <c r="H33" s="48">
        <v>0</v>
      </c>
      <c r="I33" s="51">
        <f t="shared" ref="I33:I35" si="2">H33*F33</f>
        <v>0</v>
      </c>
      <c r="J33" s="52">
        <f>ROUNDUP(F33/20,0)</f>
        <v>2</v>
      </c>
      <c r="K33" s="41" t="s">
        <v>44</v>
      </c>
      <c r="L33" s="48">
        <v>0</v>
      </c>
      <c r="M33" s="40">
        <f>IF($C$3="Оптимальная",L33*J33,"0")</f>
        <v>0</v>
      </c>
      <c r="N33" s="112"/>
    </row>
    <row r="34" spans="2:14" ht="27.6" outlineLevel="1" x14ac:dyDescent="0.3">
      <c r="B34" s="33" t="s">
        <v>125</v>
      </c>
      <c r="C34" s="41">
        <f>IF(C3="Оптимальная",'База данных'!O9,"-")</f>
        <v>0.9</v>
      </c>
      <c r="D34" s="41" t="s">
        <v>30</v>
      </c>
      <c r="E34" s="49" t="s">
        <v>24</v>
      </c>
      <c r="F34" s="50">
        <f>IF($C$3="Оптимальная",C34*$C$11,"0")</f>
        <v>90</v>
      </c>
      <c r="G34" s="41" t="s">
        <v>31</v>
      </c>
      <c r="H34" s="48">
        <v>0</v>
      </c>
      <c r="I34" s="51">
        <f t="shared" si="2"/>
        <v>0</v>
      </c>
      <c r="J34" s="52">
        <f>ROUNDUP(F34/50,0)</f>
        <v>2</v>
      </c>
      <c r="K34" s="41" t="s">
        <v>26</v>
      </c>
      <c r="L34" s="48">
        <v>0</v>
      </c>
      <c r="M34" s="40">
        <f>IF($C$3="Оптимальная",L34*J34,"0")</f>
        <v>0</v>
      </c>
      <c r="N34" s="112"/>
    </row>
    <row r="35" spans="2:14" ht="15" outlineLevel="1" thickBot="1" x14ac:dyDescent="0.35">
      <c r="B35" s="55" t="s">
        <v>39</v>
      </c>
      <c r="C35" s="56">
        <f>IF(C3="Оптимальная",'База данных'!P9,"-")</f>
        <v>1</v>
      </c>
      <c r="D35" s="56" t="s">
        <v>41</v>
      </c>
      <c r="E35" s="94">
        <v>1</v>
      </c>
      <c r="F35" s="57">
        <f>IF($C$3="Оптимальная",C35*$C$11,"0")</f>
        <v>100</v>
      </c>
      <c r="G35" s="56" t="s">
        <v>42</v>
      </c>
      <c r="H35" s="58">
        <v>0</v>
      </c>
      <c r="I35" s="59">
        <f t="shared" si="2"/>
        <v>0</v>
      </c>
      <c r="J35" s="61">
        <f>ROUNDUP(F35/18,0)</f>
        <v>6</v>
      </c>
      <c r="K35" s="62" t="s">
        <v>45</v>
      </c>
      <c r="L35" s="63">
        <v>0</v>
      </c>
      <c r="M35" s="64">
        <f>IF($C$3="Оптимальная",L35*J35,"0")</f>
        <v>0</v>
      </c>
      <c r="N35" s="112"/>
    </row>
    <row r="36" spans="2:14" ht="15" thickBot="1" x14ac:dyDescent="0.35">
      <c r="J36" s="123" t="s">
        <v>55</v>
      </c>
      <c r="K36" s="124"/>
      <c r="L36" s="124"/>
      <c r="M36" s="65">
        <f>M17+M18+M19+M21+M22+M25+M26+M27+M30+M32+M33+M34+M35+M23</f>
        <v>0</v>
      </c>
      <c r="N36" s="54"/>
    </row>
    <row r="37" spans="2:14" x14ac:dyDescent="0.3">
      <c r="J37" s="125" t="s">
        <v>48</v>
      </c>
      <c r="K37" s="125"/>
      <c r="L37" s="125"/>
      <c r="M37" s="32">
        <v>50</v>
      </c>
      <c r="N37" s="3"/>
    </row>
    <row r="38" spans="2:14" x14ac:dyDescent="0.3">
      <c r="J38" s="110" t="s">
        <v>56</v>
      </c>
      <c r="K38" s="110"/>
      <c r="L38" s="110"/>
      <c r="M38" s="60">
        <f>M36*M37/100</f>
        <v>0</v>
      </c>
    </row>
    <row r="39" spans="2:14" x14ac:dyDescent="0.3">
      <c r="I39" s="110" t="s">
        <v>57</v>
      </c>
      <c r="J39" s="110"/>
      <c r="K39" s="110"/>
      <c r="L39" s="110"/>
      <c r="M39" s="60">
        <f>M36-M38</f>
        <v>0</v>
      </c>
    </row>
    <row r="40" spans="2:14" x14ac:dyDescent="0.3">
      <c r="J40" s="110" t="s">
        <v>103</v>
      </c>
      <c r="K40" s="110"/>
      <c r="L40" s="110"/>
      <c r="M40" s="108">
        <v>0</v>
      </c>
    </row>
    <row r="41" spans="2:14" x14ac:dyDescent="0.3">
      <c r="J41" s="111" t="s">
        <v>104</v>
      </c>
      <c r="K41" s="111"/>
      <c r="L41" s="111"/>
      <c r="M41" s="109">
        <f>SUM(M39+M40)</f>
        <v>0</v>
      </c>
    </row>
  </sheetData>
  <sheetProtection formatCells="0" formatColumns="0" formatRows="0" insertColumns="0" insertRows="0" deleteColumns="0" deleteRows="0"/>
  <mergeCells count="42">
    <mergeCell ref="A2:E2"/>
    <mergeCell ref="A4:A9"/>
    <mergeCell ref="A11:A16"/>
    <mergeCell ref="B12:M12"/>
    <mergeCell ref="J5:M6"/>
    <mergeCell ref="J8:M8"/>
    <mergeCell ref="J9:M9"/>
    <mergeCell ref="J10:M10"/>
    <mergeCell ref="J11:M11"/>
    <mergeCell ref="C3:E3"/>
    <mergeCell ref="C5:E5"/>
    <mergeCell ref="B4:E4"/>
    <mergeCell ref="C10:E10"/>
    <mergeCell ref="C11:E11"/>
    <mergeCell ref="C6:E6"/>
    <mergeCell ref="C9:E9"/>
    <mergeCell ref="J15:M15"/>
    <mergeCell ref="J28:M28"/>
    <mergeCell ref="J29:M29"/>
    <mergeCell ref="B31:E31"/>
    <mergeCell ref="F31:I31"/>
    <mergeCell ref="J31:M31"/>
    <mergeCell ref="B15:E15"/>
    <mergeCell ref="F16:I16"/>
    <mergeCell ref="J16:M16"/>
    <mergeCell ref="B16:E16"/>
    <mergeCell ref="I39:L39"/>
    <mergeCell ref="J40:L40"/>
    <mergeCell ref="J41:L41"/>
    <mergeCell ref="N32:N35"/>
    <mergeCell ref="B7:E7"/>
    <mergeCell ref="C8:E8"/>
    <mergeCell ref="N25:N30"/>
    <mergeCell ref="N19:N20"/>
    <mergeCell ref="B24:E24"/>
    <mergeCell ref="F24:I24"/>
    <mergeCell ref="J24:M24"/>
    <mergeCell ref="J36:L36"/>
    <mergeCell ref="J37:L37"/>
    <mergeCell ref="J38:L38"/>
    <mergeCell ref="B13:M13"/>
    <mergeCell ref="F15:I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'База данных'!$J$32:$J$34</xm:f>
          </x14:formula1>
          <xm:sqref>B18</xm:sqref>
        </x14:dataValidation>
        <x14:dataValidation type="list" allowBlank="1" showInputMessage="1" showErrorMessage="1" xr:uid="{00000000-0002-0000-0000-000001000000}">
          <x14:formula1>
            <xm:f>'База данных'!$G$11:$G$13</xm:f>
          </x14:formula1>
          <xm:sqref>B25</xm:sqref>
        </x14:dataValidation>
        <x14:dataValidation type="list" allowBlank="1" showInputMessage="1" showErrorMessage="1" xr:uid="{00000000-0002-0000-0000-000002000000}">
          <x14:formula1>
            <xm:f>'База данных'!$J$3:$J$4</xm:f>
          </x14:formula1>
          <xm:sqref>B33</xm:sqref>
        </x14:dataValidation>
        <x14:dataValidation type="list" allowBlank="1" showInputMessage="1" showErrorMessage="1" xr:uid="{00000000-0002-0000-0000-000003000000}">
          <x14:formula1>
            <xm:f>'База данных'!$G$25:$G$26</xm:f>
          </x14:formula1>
          <xm:sqref>C3:E3</xm:sqref>
        </x14:dataValidation>
        <x14:dataValidation type="list" allowBlank="1" showInputMessage="1" showErrorMessage="1" xr:uid="{00000000-0002-0000-0000-000004000000}">
          <x14:formula1>
            <xm:f>'База данных'!$G$3:$G$5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5"/>
  <sheetViews>
    <sheetView topLeftCell="A2" zoomScaleNormal="100" zoomScaleSheetLayoutView="70" workbookViewId="0">
      <selection activeCell="B17" sqref="B17"/>
    </sheetView>
  </sheetViews>
  <sheetFormatPr defaultColWidth="8.6640625" defaultRowHeight="14.4" outlineLevelRow="1" outlineLevelCol="1" x14ac:dyDescent="0.3"/>
  <cols>
    <col min="1" max="1" width="35" style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88671875" style="1" bestFit="1" customWidth="1" outlineLevel="1"/>
    <col min="9" max="9" width="9.88671875" style="1" customWidth="1" outlineLevel="1"/>
    <col min="10" max="10" width="6.5546875" style="1" customWidth="1"/>
    <col min="11" max="11" width="7.88671875" style="1" customWidth="1"/>
    <col min="12" max="12" width="8.5546875" style="1" bestFit="1" customWidth="1"/>
    <col min="13" max="13" width="13.6640625" style="1" bestFit="1" customWidth="1"/>
    <col min="14" max="14" width="15" style="1" bestFit="1" customWidth="1"/>
    <col min="15" max="15" width="8.6640625" style="1" hidden="1" customWidth="1"/>
    <col min="16" max="16" width="8.109375" style="1" hidden="1" customWidth="1"/>
    <col min="17" max="16384" width="8.6640625" style="1"/>
  </cols>
  <sheetData>
    <row r="2" spans="1:16" ht="35.1" customHeight="1" x14ac:dyDescent="0.7">
      <c r="A2" s="159" t="s">
        <v>86</v>
      </c>
      <c r="B2" s="159"/>
      <c r="C2" s="159"/>
      <c r="D2" s="159"/>
      <c r="E2" s="159"/>
    </row>
    <row r="3" spans="1:16" x14ac:dyDescent="0.3">
      <c r="A3" s="104" t="s">
        <v>96</v>
      </c>
      <c r="B3" s="17" t="s">
        <v>60</v>
      </c>
      <c r="C3" s="146" t="s">
        <v>90</v>
      </c>
      <c r="D3" s="146"/>
      <c r="E3" s="146"/>
      <c r="O3" s="1" t="s">
        <v>78</v>
      </c>
      <c r="P3" s="1">
        <v>4444</v>
      </c>
    </row>
    <row r="4" spans="1:16" x14ac:dyDescent="0.3">
      <c r="A4" s="102"/>
      <c r="B4" s="113" t="s">
        <v>65</v>
      </c>
      <c r="C4" s="113"/>
      <c r="D4" s="113"/>
      <c r="E4" s="113"/>
    </row>
    <row r="5" spans="1:16" x14ac:dyDescent="0.3">
      <c r="A5" s="102"/>
      <c r="B5" s="30" t="s">
        <v>61</v>
      </c>
      <c r="C5" s="114">
        <v>250</v>
      </c>
      <c r="D5" s="114"/>
      <c r="E5" s="114"/>
      <c r="F5" s="101"/>
      <c r="G5" s="101"/>
      <c r="H5" s="101"/>
      <c r="I5" s="101"/>
      <c r="J5" s="144" t="s">
        <v>82</v>
      </c>
      <c r="K5" s="144"/>
      <c r="L5" s="144"/>
      <c r="M5" s="144"/>
    </row>
    <row r="6" spans="1:16" ht="28.8" x14ac:dyDescent="0.3">
      <c r="A6" s="102"/>
      <c r="B6" s="30" t="s">
        <v>102</v>
      </c>
      <c r="C6" s="152">
        <v>200</v>
      </c>
      <c r="D6" s="153"/>
      <c r="E6" s="154"/>
      <c r="F6" s="101"/>
      <c r="G6" s="101"/>
      <c r="H6" s="101"/>
      <c r="I6" s="101"/>
      <c r="J6" s="144" t="s">
        <v>83</v>
      </c>
      <c r="K6" s="144"/>
      <c r="L6" s="144"/>
      <c r="M6" s="144"/>
    </row>
    <row r="7" spans="1:16" x14ac:dyDescent="0.3">
      <c r="A7" s="102"/>
      <c r="B7" s="30" t="s">
        <v>58</v>
      </c>
      <c r="C7" s="147">
        <f>C5-C6</f>
        <v>50</v>
      </c>
      <c r="D7" s="147"/>
      <c r="E7" s="147"/>
      <c r="F7" s="101"/>
      <c r="G7" s="101"/>
      <c r="H7" s="101"/>
      <c r="I7" s="101"/>
      <c r="J7" s="145" t="s">
        <v>84</v>
      </c>
      <c r="K7" s="145"/>
      <c r="L7" s="145"/>
      <c r="M7" s="145"/>
    </row>
    <row r="8" spans="1:16" x14ac:dyDescent="0.3">
      <c r="A8" s="102"/>
      <c r="B8" s="30" t="s">
        <v>66</v>
      </c>
      <c r="C8" s="148">
        <v>100</v>
      </c>
      <c r="D8" s="148"/>
      <c r="E8" s="148"/>
      <c r="F8" s="101"/>
      <c r="G8" s="101"/>
      <c r="H8" s="101"/>
      <c r="I8" s="101"/>
      <c r="J8" s="144" t="s">
        <v>87</v>
      </c>
      <c r="K8" s="144"/>
      <c r="L8" s="144"/>
      <c r="M8" s="144"/>
    </row>
    <row r="9" spans="1:16" x14ac:dyDescent="0.3">
      <c r="A9" s="102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</row>
    <row r="10" spans="1:16" x14ac:dyDescent="0.3">
      <c r="A10" s="104" t="s">
        <v>95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</row>
    <row r="11" spans="1:16" ht="15" thickBot="1" x14ac:dyDescent="0.35">
      <c r="A11" s="141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6" ht="15" thickBot="1" x14ac:dyDescent="0.35">
      <c r="A12" s="141"/>
      <c r="B12" s="126" t="s">
        <v>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</row>
    <row r="13" spans="1:16" ht="31.5" customHeight="1" x14ac:dyDescent="0.3">
      <c r="A13" s="141"/>
      <c r="B13" s="20" t="s">
        <v>12</v>
      </c>
      <c r="C13" s="21" t="s">
        <v>19</v>
      </c>
      <c r="D13" s="21" t="s">
        <v>22</v>
      </c>
      <c r="E13" s="25" t="s">
        <v>20</v>
      </c>
      <c r="F13" s="20" t="s">
        <v>13</v>
      </c>
      <c r="G13" s="21" t="s">
        <v>21</v>
      </c>
      <c r="H13" s="21" t="s">
        <v>51</v>
      </c>
      <c r="I13" s="22" t="s">
        <v>52</v>
      </c>
      <c r="J13" s="20" t="s">
        <v>13</v>
      </c>
      <c r="K13" s="21" t="s">
        <v>21</v>
      </c>
      <c r="L13" s="21" t="s">
        <v>51</v>
      </c>
      <c r="M13" s="22" t="s">
        <v>52</v>
      </c>
    </row>
    <row r="14" spans="1:16" x14ac:dyDescent="0.3">
      <c r="A14" s="141"/>
      <c r="B14" s="132"/>
      <c r="C14" s="130"/>
      <c r="D14" s="130"/>
      <c r="E14" s="131"/>
      <c r="F14" s="132" t="s">
        <v>53</v>
      </c>
      <c r="G14" s="130"/>
      <c r="H14" s="130"/>
      <c r="I14" s="133"/>
      <c r="J14" s="132" t="s">
        <v>54</v>
      </c>
      <c r="K14" s="130"/>
      <c r="L14" s="130"/>
      <c r="M14" s="133"/>
    </row>
    <row r="15" spans="1:16" x14ac:dyDescent="0.3">
      <c r="A15" s="141"/>
      <c r="B15" s="115" t="s">
        <v>72</v>
      </c>
      <c r="C15" s="116"/>
      <c r="D15" s="116"/>
      <c r="E15" s="138"/>
      <c r="F15" s="115"/>
      <c r="G15" s="116"/>
      <c r="H15" s="116"/>
      <c r="I15" s="117"/>
      <c r="J15" s="115"/>
      <c r="K15" s="116"/>
      <c r="L15" s="116"/>
      <c r="M15" s="117"/>
    </row>
    <row r="16" spans="1:16" ht="27.6" x14ac:dyDescent="0.3">
      <c r="A16" s="141"/>
      <c r="B16" s="28" t="str">
        <f>IF(C3="Базовая","Гидро-ветрозащитная мембрана Vetonit (Isover) Ветранет АМ (рул.=70 м2)","Ветрозащитная плитная обшивка Vetonit (Gyproc) GTS-9 ветрозащитный (3 м2)")</f>
        <v>Ветрозащитная плитная обшивка Vetonit (Gyproc) GTS-9 ветрозащитный (3 м2)</v>
      </c>
      <c r="C16" s="11">
        <f>VLOOKUP(B16,'База данных'!L19:O21,2,0)</f>
        <v>1</v>
      </c>
      <c r="D16" s="11" t="str">
        <f>VLOOKUP(B16,'База данных'!L19:O21,3,0)</f>
        <v>м2/м2</v>
      </c>
      <c r="E16" s="77">
        <f>VLOOKUP(B16,'База данных'!L19:O21,4,0)</f>
        <v>9.5</v>
      </c>
      <c r="F16" s="23">
        <f>C16*$C8</f>
        <v>100</v>
      </c>
      <c r="G16" s="11" t="s">
        <v>25</v>
      </c>
      <c r="H16" s="31">
        <v>0</v>
      </c>
      <c r="I16" s="24">
        <f>H16*F16</f>
        <v>0</v>
      </c>
      <c r="J16" s="23">
        <f>ROUNDUP(F16/VLOOKUP(B16,'База данных'!$L$19:$Q$21,5,0),0)</f>
        <v>34</v>
      </c>
      <c r="K16" s="23" t="str">
        <f>VLOOKUP(B16,'База данных'!$L$19:$Q$21,6,0)</f>
        <v>шт.</v>
      </c>
      <c r="L16" s="31">
        <v>0</v>
      </c>
      <c r="M16" s="24">
        <f>L16*J16</f>
        <v>0</v>
      </c>
    </row>
    <row r="17" spans="1:14" x14ac:dyDescent="0.3">
      <c r="A17" s="103" t="s">
        <v>80</v>
      </c>
      <c r="B17" s="28" t="str">
        <f>IF(C3="Базовая","Vetonit (Isover) Теплые стены Стронг","Vetonit (Isover) Каркас П34 565 мм")</f>
        <v>Vetonit (Isover) Каркас П34 565 мм</v>
      </c>
      <c r="C17" s="11">
        <v>1.05</v>
      </c>
      <c r="D17" s="11" t="s">
        <v>23</v>
      </c>
      <c r="E17" s="77">
        <f>C6</f>
        <v>200</v>
      </c>
      <c r="F17" s="23">
        <f>C17*$C8</f>
        <v>105</v>
      </c>
      <c r="G17" s="11" t="s">
        <v>25</v>
      </c>
      <c r="H17" s="31">
        <v>0</v>
      </c>
      <c r="I17" s="24">
        <f t="shared" ref="I17:I20" si="0">H17*F17</f>
        <v>0</v>
      </c>
      <c r="J17" s="23">
        <f>ROUNDUP(F17*E17/1000,0)</f>
        <v>21</v>
      </c>
      <c r="K17" s="11" t="s">
        <v>27</v>
      </c>
      <c r="L17" s="31">
        <v>0</v>
      </c>
      <c r="M17" s="24">
        <f>L17*J17</f>
        <v>0</v>
      </c>
    </row>
    <row r="18" spans="1:14" x14ac:dyDescent="0.3">
      <c r="B18" s="28" t="str">
        <f>B17 &amp; "(доутепление)"</f>
        <v>Vetonit (Isover) Каркас П34 565 мм(доутепление)</v>
      </c>
      <c r="C18" s="11">
        <f>IF(C7=0,"0",1.05)</f>
        <v>1.05</v>
      </c>
      <c r="D18" s="11" t="str">
        <f>D17</f>
        <v>м2/м2</v>
      </c>
      <c r="E18" s="77">
        <f>C7</f>
        <v>50</v>
      </c>
      <c r="F18" s="23">
        <f>C18*C8</f>
        <v>105</v>
      </c>
      <c r="G18" s="11" t="str">
        <f>G17</f>
        <v>м2</v>
      </c>
      <c r="H18" s="31">
        <v>0</v>
      </c>
      <c r="I18" s="24">
        <f>H18*F18</f>
        <v>0</v>
      </c>
      <c r="J18" s="23">
        <f>ROUNDUP(F18*E18/1000,0)</f>
        <v>6</v>
      </c>
      <c r="K18" s="11" t="str">
        <f>K17</f>
        <v>м3</v>
      </c>
      <c r="L18" s="31">
        <v>0</v>
      </c>
      <c r="M18" s="24">
        <f>L18*J18</f>
        <v>0</v>
      </c>
      <c r="N18" s="53"/>
    </row>
    <row r="19" spans="1:14" ht="25.5" customHeight="1" x14ac:dyDescent="0.3">
      <c r="B19" s="28" t="s">
        <v>128</v>
      </c>
      <c r="C19" s="11">
        <v>1.1000000000000001</v>
      </c>
      <c r="D19" s="11" t="s">
        <v>23</v>
      </c>
      <c r="E19" s="77" t="s">
        <v>24</v>
      </c>
      <c r="F19" s="23">
        <f>C19*$C8</f>
        <v>110.00000000000001</v>
      </c>
      <c r="G19" s="11" t="s">
        <v>25</v>
      </c>
      <c r="H19" s="31">
        <v>0</v>
      </c>
      <c r="I19" s="24">
        <f t="shared" si="0"/>
        <v>0</v>
      </c>
      <c r="J19" s="23">
        <f>ROUNDUP(F19/70,0)</f>
        <v>2</v>
      </c>
      <c r="K19" s="11" t="s">
        <v>26</v>
      </c>
      <c r="L19" s="31">
        <v>0</v>
      </c>
      <c r="M19" s="24">
        <f>L19*J19</f>
        <v>0</v>
      </c>
    </row>
    <row r="20" spans="1:14" ht="27.6" x14ac:dyDescent="0.3">
      <c r="B20" s="28" t="s">
        <v>129</v>
      </c>
      <c r="C20" s="11">
        <f>VLOOKUP(B16,'База данных'!L19:R21,7,0)</f>
        <v>1.1000000000000001</v>
      </c>
      <c r="D20" s="11" t="s">
        <v>30</v>
      </c>
      <c r="E20" s="77" t="s">
        <v>24</v>
      </c>
      <c r="F20" s="23">
        <f>C20*$C8</f>
        <v>110.00000000000001</v>
      </c>
      <c r="G20" s="11" t="s">
        <v>31</v>
      </c>
      <c r="H20" s="31">
        <v>0</v>
      </c>
      <c r="I20" s="24">
        <f t="shared" si="0"/>
        <v>0</v>
      </c>
      <c r="J20" s="23">
        <f>ROUNDUP(F20/20,0)</f>
        <v>6</v>
      </c>
      <c r="K20" s="11" t="s">
        <v>26</v>
      </c>
      <c r="L20" s="31">
        <v>0</v>
      </c>
      <c r="M20" s="24">
        <f>L20*J20</f>
        <v>0</v>
      </c>
    </row>
    <row r="21" spans="1:14" ht="27.6" x14ac:dyDescent="0.3">
      <c r="B21" s="28" t="s">
        <v>16</v>
      </c>
      <c r="C21" s="11">
        <v>0.1</v>
      </c>
      <c r="D21" s="11" t="s">
        <v>32</v>
      </c>
      <c r="E21" s="77" t="s">
        <v>24</v>
      </c>
      <c r="F21" s="23">
        <f>C21*$C8</f>
        <v>10</v>
      </c>
      <c r="G21" s="11" t="s">
        <v>33</v>
      </c>
      <c r="H21" s="31">
        <v>0</v>
      </c>
      <c r="I21" s="24">
        <f>H21*F21</f>
        <v>0</v>
      </c>
      <c r="J21" s="23">
        <f>ROUNDUP(F21/0.5,0)</f>
        <v>20</v>
      </c>
      <c r="K21" s="11" t="s">
        <v>106</v>
      </c>
      <c r="L21" s="107">
        <v>0</v>
      </c>
      <c r="M21" s="24">
        <f>J21*L21</f>
        <v>0</v>
      </c>
    </row>
    <row r="22" spans="1:14" outlineLevel="1" x14ac:dyDescent="0.3">
      <c r="B22" s="115" t="str">
        <f>"Отделка ГСП Gyproc"&amp;IF(C3="Базовая","(Опционально)",)</f>
        <v>Отделка ГСП Gyproc</v>
      </c>
      <c r="C22" s="116"/>
      <c r="D22" s="116"/>
      <c r="E22" s="138"/>
      <c r="F22" s="121"/>
      <c r="G22" s="119"/>
      <c r="H22" s="119"/>
      <c r="I22" s="122"/>
      <c r="J22" s="121"/>
      <c r="K22" s="119"/>
      <c r="L22" s="119"/>
      <c r="M22" s="122"/>
    </row>
    <row r="23" spans="1:14" ht="27.6" outlineLevel="1" x14ac:dyDescent="0.3">
      <c r="A23" s="103" t="s">
        <v>80</v>
      </c>
      <c r="B23" s="91" t="s">
        <v>130</v>
      </c>
      <c r="C23" s="68">
        <v>1</v>
      </c>
      <c r="D23" s="68" t="s">
        <v>23</v>
      </c>
      <c r="E23" s="78">
        <f>VLOOKUP(B23,Таблица256[],2,0)</f>
        <v>15</v>
      </c>
      <c r="F23" s="71">
        <f>C23*C8</f>
        <v>100</v>
      </c>
      <c r="G23" s="69" t="s">
        <v>25</v>
      </c>
      <c r="H23" s="70">
        <v>0</v>
      </c>
      <c r="I23" s="80">
        <f>H23*F23</f>
        <v>0</v>
      </c>
      <c r="J23" s="71">
        <f>ROUNDUP(F23/3,0)</f>
        <v>34</v>
      </c>
      <c r="K23" s="69" t="s">
        <v>29</v>
      </c>
      <c r="L23" s="72">
        <v>0</v>
      </c>
      <c r="M23" s="24">
        <f>J23*L23</f>
        <v>0</v>
      </c>
      <c r="N23" s="53"/>
    </row>
    <row r="24" spans="1:14" outlineLevel="1" x14ac:dyDescent="0.3">
      <c r="B24" s="115" t="str">
        <f>"Финишная отделка"&amp;IF(C3="Базовая","(Опционально)",)</f>
        <v>Финишная отделка</v>
      </c>
      <c r="C24" s="116"/>
      <c r="D24" s="116"/>
      <c r="E24" s="138"/>
      <c r="F24" s="121"/>
      <c r="G24" s="119"/>
      <c r="H24" s="119"/>
      <c r="I24" s="122"/>
      <c r="J24" s="121"/>
      <c r="K24" s="119"/>
      <c r="L24" s="119"/>
      <c r="M24" s="122"/>
    </row>
    <row r="25" spans="1:14" outlineLevel="1" x14ac:dyDescent="0.3">
      <c r="B25" s="28" t="s">
        <v>37</v>
      </c>
      <c r="C25" s="68">
        <v>0.2</v>
      </c>
      <c r="D25" s="68" t="s">
        <v>32</v>
      </c>
      <c r="E25" s="79" t="s">
        <v>24</v>
      </c>
      <c r="F25" s="73">
        <f>C25*$C$8</f>
        <v>20</v>
      </c>
      <c r="G25" s="68" t="s">
        <v>33</v>
      </c>
      <c r="H25" s="72">
        <v>0</v>
      </c>
      <c r="I25" s="81">
        <f>H25*F25</f>
        <v>0</v>
      </c>
      <c r="J25" s="73">
        <f>ROUNDUP(F25/10,0)</f>
        <v>2</v>
      </c>
      <c r="K25" s="68" t="s">
        <v>43</v>
      </c>
      <c r="L25" s="72">
        <v>0</v>
      </c>
      <c r="M25" s="24" t="str">
        <f t="shared" ref="M25:M28" si="1">IF($C$3="стандартная",L25*J25,"0")</f>
        <v>0</v>
      </c>
      <c r="N25" s="112"/>
    </row>
    <row r="26" spans="1:14" outlineLevel="1" x14ac:dyDescent="0.3">
      <c r="B26" s="28" t="s">
        <v>113</v>
      </c>
      <c r="C26" s="68">
        <v>0.3</v>
      </c>
      <c r="D26" s="68" t="s">
        <v>40</v>
      </c>
      <c r="E26" s="79" t="s">
        <v>24</v>
      </c>
      <c r="F26" s="73">
        <f t="shared" ref="F26:F27" si="2">C26*$C$8</f>
        <v>30</v>
      </c>
      <c r="G26" s="68" t="s">
        <v>42</v>
      </c>
      <c r="H26" s="72">
        <v>0</v>
      </c>
      <c r="I26" s="81">
        <f t="shared" ref="I26:I28" si="3">H26*F26</f>
        <v>0</v>
      </c>
      <c r="J26" s="73">
        <f>ROUNDUP(F26/20,0)</f>
        <v>2</v>
      </c>
      <c r="K26" s="68" t="s">
        <v>44</v>
      </c>
      <c r="L26" s="72">
        <v>0</v>
      </c>
      <c r="M26" s="24" t="str">
        <f t="shared" si="1"/>
        <v>0</v>
      </c>
      <c r="N26" s="112"/>
    </row>
    <row r="27" spans="1:14" ht="27.6" outlineLevel="1" x14ac:dyDescent="0.3">
      <c r="B27" s="28" t="s">
        <v>125</v>
      </c>
      <c r="C27" s="68">
        <v>1.2</v>
      </c>
      <c r="D27" s="68" t="s">
        <v>30</v>
      </c>
      <c r="E27" s="79" t="s">
        <v>24</v>
      </c>
      <c r="F27" s="73">
        <f t="shared" si="2"/>
        <v>120</v>
      </c>
      <c r="G27" s="68" t="s">
        <v>31</v>
      </c>
      <c r="H27" s="72">
        <v>0</v>
      </c>
      <c r="I27" s="81">
        <f t="shared" si="3"/>
        <v>0</v>
      </c>
      <c r="J27" s="73">
        <f>ROUNDUP(F27/50,0)</f>
        <v>3</v>
      </c>
      <c r="K27" s="68" t="s">
        <v>26</v>
      </c>
      <c r="L27" s="72">
        <v>0</v>
      </c>
      <c r="M27" s="24" t="str">
        <f t="shared" si="1"/>
        <v>0</v>
      </c>
      <c r="N27" s="112"/>
    </row>
    <row r="28" spans="1:14" ht="15" outlineLevel="1" thickBot="1" x14ac:dyDescent="0.35">
      <c r="B28" s="74" t="s">
        <v>74</v>
      </c>
      <c r="C28" s="75">
        <v>1.2</v>
      </c>
      <c r="D28" s="75" t="s">
        <v>41</v>
      </c>
      <c r="E28" s="92">
        <v>3</v>
      </c>
      <c r="F28" s="82">
        <f>C28*$C$8*E28</f>
        <v>360</v>
      </c>
      <c r="G28" s="75" t="s">
        <v>42</v>
      </c>
      <c r="H28" s="76">
        <v>0</v>
      </c>
      <c r="I28" s="83">
        <f t="shared" si="3"/>
        <v>0</v>
      </c>
      <c r="J28" s="82">
        <f>ROUNDUP(F28/18,0)</f>
        <v>20</v>
      </c>
      <c r="K28" s="75" t="s">
        <v>45</v>
      </c>
      <c r="L28" s="76">
        <v>0</v>
      </c>
      <c r="M28" s="85" t="str">
        <f t="shared" si="1"/>
        <v>0</v>
      </c>
      <c r="N28" s="112"/>
    </row>
    <row r="29" spans="1:14" outlineLevel="1" x14ac:dyDescent="0.3">
      <c r="B29" s="86"/>
      <c r="C29" s="87"/>
      <c r="D29" s="87"/>
      <c r="E29" s="87"/>
      <c r="F29" s="87"/>
      <c r="G29" s="87"/>
      <c r="H29" s="88"/>
      <c r="I29" s="89"/>
      <c r="J29" s="87"/>
      <c r="K29" s="87"/>
      <c r="L29" s="88"/>
      <c r="M29" s="90"/>
      <c r="N29" s="4"/>
    </row>
    <row r="30" spans="1:14" outlineLevel="1" x14ac:dyDescent="0.3">
      <c r="B30" s="86"/>
      <c r="C30" s="87"/>
      <c r="D30" s="87"/>
      <c r="E30" s="87"/>
      <c r="F30" s="87"/>
      <c r="G30" s="87"/>
      <c r="H30" s="88"/>
      <c r="I30" s="89"/>
      <c r="J30" s="87"/>
      <c r="K30" s="87"/>
      <c r="L30" s="88"/>
      <c r="M30" s="90" t="s">
        <v>76</v>
      </c>
      <c r="N30" s="4" t="s">
        <v>77</v>
      </c>
    </row>
    <row r="31" spans="1:14" x14ac:dyDescent="0.3">
      <c r="J31" s="155" t="s">
        <v>75</v>
      </c>
      <c r="K31" s="155"/>
      <c r="L31" s="155"/>
      <c r="M31" s="84">
        <f>M16+M17+M18+M19+M20+M21</f>
        <v>0</v>
      </c>
      <c r="N31" s="84">
        <f>M31+M23+M25+M26+M27+M28</f>
        <v>0</v>
      </c>
    </row>
    <row r="32" spans="1:14" x14ac:dyDescent="0.3">
      <c r="J32" s="125" t="s">
        <v>48</v>
      </c>
      <c r="K32" s="125"/>
      <c r="L32" s="125"/>
      <c r="M32" s="156">
        <v>25</v>
      </c>
      <c r="N32" s="156"/>
    </row>
    <row r="33" spans="9:14" x14ac:dyDescent="0.3">
      <c r="J33" s="110" t="s">
        <v>56</v>
      </c>
      <c r="K33" s="110"/>
      <c r="L33" s="110"/>
      <c r="M33" s="60">
        <f>M31*$M$32/100</f>
        <v>0</v>
      </c>
      <c r="N33" s="60">
        <f>N31*$M$32/100</f>
        <v>0</v>
      </c>
    </row>
    <row r="34" spans="9:14" x14ac:dyDescent="0.3">
      <c r="I34" s="110" t="s">
        <v>57</v>
      </c>
      <c r="J34" s="110"/>
      <c r="K34" s="110"/>
      <c r="L34" s="110"/>
      <c r="M34" s="60">
        <f>M31-M33</f>
        <v>0</v>
      </c>
      <c r="N34" s="60">
        <f>N31-N33</f>
        <v>0</v>
      </c>
    </row>
    <row r="35" spans="9:14" x14ac:dyDescent="0.3">
      <c r="J35" s="110"/>
      <c r="K35" s="110"/>
      <c r="L35" s="110"/>
      <c r="M35" s="108"/>
      <c r="N35" s="108"/>
    </row>
  </sheetData>
  <sheetProtection formatCells="0" formatColumns="0" formatRows="0" insertColumns="0" insertRows="0" deleteColumns="0" deleteRows="0"/>
  <mergeCells count="33">
    <mergeCell ref="A11:A16"/>
    <mergeCell ref="B9:M11"/>
    <mergeCell ref="A2:E2"/>
    <mergeCell ref="J5:M5"/>
    <mergeCell ref="J6:M6"/>
    <mergeCell ref="J7:M7"/>
    <mergeCell ref="J8:M8"/>
    <mergeCell ref="C8:E8"/>
    <mergeCell ref="B12:M12"/>
    <mergeCell ref="B14:E14"/>
    <mergeCell ref="F14:I14"/>
    <mergeCell ref="J14:M14"/>
    <mergeCell ref="C3:E3"/>
    <mergeCell ref="B4:E4"/>
    <mergeCell ref="C5:E5"/>
    <mergeCell ref="C6:E6"/>
    <mergeCell ref="N25:N28"/>
    <mergeCell ref="J31:L31"/>
    <mergeCell ref="J32:L32"/>
    <mergeCell ref="J33:L33"/>
    <mergeCell ref="M32:N32"/>
    <mergeCell ref="I34:L34"/>
    <mergeCell ref="J35:L35"/>
    <mergeCell ref="C7:E7"/>
    <mergeCell ref="B24:E24"/>
    <mergeCell ref="F24:I24"/>
    <mergeCell ref="J24:M24"/>
    <mergeCell ref="B15:E15"/>
    <mergeCell ref="F15:I15"/>
    <mergeCell ref="J15:M15"/>
    <mergeCell ref="B22:E22"/>
    <mergeCell ref="F22:I22"/>
    <mergeCell ref="J22:M2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'База данных'!$G$3:$G$5</xm:f>
          </x14:formula1>
          <xm:sqref>C6</xm:sqref>
        </x14:dataValidation>
        <x14:dataValidation type="list" allowBlank="1" showInputMessage="1" showErrorMessage="1" xr:uid="{00000000-0002-0000-0100-000001000000}">
          <x14:formula1>
            <xm:f>'База данных'!$G$25:$G$26</xm:f>
          </x14:formula1>
          <xm:sqref>C3:E3</xm:sqref>
        </x14:dataValidation>
        <x14:dataValidation type="list" allowBlank="1" showInputMessage="1" showErrorMessage="1" xr:uid="{00000000-0002-0000-0100-000002000000}">
          <x14:formula1>
            <xm:f>'База данных'!$J$3:$J$4</xm:f>
          </x14:formula1>
          <xm:sqref>B26</xm:sqref>
        </x14:dataValidation>
        <x14:dataValidation type="list" allowBlank="1" showInputMessage="1" showErrorMessage="1" xr:uid="{00000000-0002-0000-0100-000003000000}">
          <x14:formula1>
            <xm:f>'База данных'!$G$14:$G$16</xm:f>
          </x14:formula1>
          <xm:sqref>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7"/>
  <sheetViews>
    <sheetView tabSelected="1" zoomScale="130" zoomScaleNormal="130" zoomScaleSheetLayoutView="70" workbookViewId="0">
      <selection activeCell="C3" sqref="C3:E3"/>
    </sheetView>
  </sheetViews>
  <sheetFormatPr defaultColWidth="8.6640625" defaultRowHeight="14.4" outlineLevelCol="1" x14ac:dyDescent="0.3"/>
  <cols>
    <col min="1" max="1" width="30.44140625" style="1" bestFit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33203125" style="1" customWidth="1" outlineLevel="1"/>
    <col min="9" max="9" width="9.88671875" style="1" customWidth="1" outlineLevel="1"/>
    <col min="10" max="10" width="6.5546875" style="1" customWidth="1"/>
    <col min="11" max="11" width="7.88671875" style="1" customWidth="1"/>
    <col min="12" max="12" width="7.5546875" style="1" bestFit="1" customWidth="1"/>
    <col min="13" max="13" width="13.88671875" style="1" customWidth="1"/>
    <col min="14" max="14" width="12.33203125" style="1" hidden="1" customWidth="1"/>
    <col min="15" max="15" width="8.6640625" style="1" hidden="1" customWidth="1"/>
    <col min="16" max="16" width="8.109375" style="1" customWidth="1"/>
    <col min="17" max="16384" width="8.6640625" style="1"/>
  </cols>
  <sheetData>
    <row r="2" spans="1:15" ht="33.6" x14ac:dyDescent="0.3">
      <c r="A2" s="160" t="s">
        <v>110</v>
      </c>
      <c r="B2" s="160"/>
      <c r="C2" s="160"/>
      <c r="D2" s="160"/>
      <c r="E2" s="160"/>
      <c r="F2" s="160"/>
      <c r="G2" s="160"/>
      <c r="H2" s="160"/>
    </row>
    <row r="3" spans="1:15" x14ac:dyDescent="0.3">
      <c r="A3" s="106" t="s">
        <v>101</v>
      </c>
      <c r="B3" s="17" t="s">
        <v>49</v>
      </c>
      <c r="C3" s="146" t="s">
        <v>90</v>
      </c>
      <c r="D3" s="146"/>
      <c r="E3" s="146"/>
      <c r="N3" s="1" t="s">
        <v>78</v>
      </c>
      <c r="O3" s="1">
        <v>4444</v>
      </c>
    </row>
    <row r="4" spans="1:15" x14ac:dyDescent="0.3">
      <c r="A4" s="140"/>
      <c r="B4" s="113" t="s">
        <v>65</v>
      </c>
      <c r="C4" s="113"/>
      <c r="D4" s="113"/>
      <c r="E4" s="113"/>
    </row>
    <row r="5" spans="1:15" x14ac:dyDescent="0.3">
      <c r="A5" s="140"/>
      <c r="B5" s="30" t="s">
        <v>61</v>
      </c>
      <c r="C5" s="114">
        <v>200</v>
      </c>
      <c r="D5" s="114"/>
      <c r="E5" s="114"/>
      <c r="F5" s="101"/>
      <c r="G5" s="101"/>
      <c r="H5" s="101"/>
      <c r="I5" s="101"/>
      <c r="J5" s="144" t="s">
        <v>82</v>
      </c>
      <c r="K5" s="144"/>
      <c r="L5" s="144"/>
      <c r="M5" s="144"/>
    </row>
    <row r="6" spans="1:15" x14ac:dyDescent="0.3">
      <c r="A6" s="140"/>
      <c r="B6" s="30" t="s">
        <v>108</v>
      </c>
      <c r="C6" s="152">
        <v>150</v>
      </c>
      <c r="D6" s="153"/>
      <c r="E6" s="154"/>
      <c r="F6" s="101"/>
      <c r="G6" s="101"/>
      <c r="H6" s="101"/>
      <c r="I6" s="101"/>
      <c r="J6" s="144" t="s">
        <v>109</v>
      </c>
      <c r="K6" s="144"/>
      <c r="L6" s="144"/>
      <c r="M6" s="144"/>
    </row>
    <row r="7" spans="1:15" x14ac:dyDescent="0.3">
      <c r="A7" s="140"/>
      <c r="B7" s="30" t="s">
        <v>58</v>
      </c>
      <c r="C7" s="147">
        <f>C5-C6</f>
        <v>50</v>
      </c>
      <c r="D7" s="147"/>
      <c r="E7" s="147"/>
      <c r="F7" s="101"/>
      <c r="G7" s="101"/>
      <c r="H7" s="101"/>
      <c r="I7" s="101"/>
      <c r="J7" s="145" t="s">
        <v>84</v>
      </c>
      <c r="K7" s="145"/>
      <c r="L7" s="145"/>
      <c r="M7" s="145"/>
    </row>
    <row r="8" spans="1:15" ht="30.9" customHeight="1" x14ac:dyDescent="0.3">
      <c r="A8" s="140"/>
      <c r="B8" s="105" t="s">
        <v>107</v>
      </c>
      <c r="C8" s="162">
        <v>10</v>
      </c>
      <c r="D8" s="162"/>
      <c r="E8" s="162"/>
      <c r="F8" s="101"/>
      <c r="G8" s="101"/>
      <c r="H8" s="101"/>
      <c r="I8" s="101"/>
      <c r="J8" s="145" t="s">
        <v>97</v>
      </c>
      <c r="K8" s="145"/>
      <c r="L8" s="145"/>
      <c r="M8" s="145"/>
    </row>
    <row r="9" spans="1:15" ht="18.600000000000001" customHeight="1" x14ac:dyDescent="0.3">
      <c r="A9" s="106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</row>
    <row r="10" spans="1:15" ht="15.6" customHeight="1" thickBot="1" x14ac:dyDescent="0.35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5" ht="15" thickBot="1" x14ac:dyDescent="0.35">
      <c r="A11" s="141"/>
      <c r="B11" s="126" t="s">
        <v>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1:15" ht="27.6" x14ac:dyDescent="0.3">
      <c r="A12" s="141"/>
      <c r="B12" s="20" t="s">
        <v>12</v>
      </c>
      <c r="C12" s="21" t="s">
        <v>19</v>
      </c>
      <c r="D12" s="21" t="s">
        <v>22</v>
      </c>
      <c r="E12" s="22" t="s">
        <v>20</v>
      </c>
      <c r="F12" s="20" t="s">
        <v>13</v>
      </c>
      <c r="G12" s="21" t="s">
        <v>21</v>
      </c>
      <c r="H12" s="21" t="s">
        <v>51</v>
      </c>
      <c r="I12" s="22" t="s">
        <v>52</v>
      </c>
      <c r="J12" s="20" t="s">
        <v>13</v>
      </c>
      <c r="K12" s="21" t="s">
        <v>21</v>
      </c>
      <c r="L12" s="21" t="s">
        <v>51</v>
      </c>
      <c r="M12" s="22" t="s">
        <v>52</v>
      </c>
    </row>
    <row r="13" spans="1:15" x14ac:dyDescent="0.3">
      <c r="A13" s="141"/>
      <c r="B13" s="132"/>
      <c r="C13" s="130"/>
      <c r="D13" s="130"/>
      <c r="E13" s="133"/>
      <c r="F13" s="132" t="s">
        <v>53</v>
      </c>
      <c r="G13" s="130"/>
      <c r="H13" s="130"/>
      <c r="I13" s="133"/>
      <c r="J13" s="132" t="s">
        <v>54</v>
      </c>
      <c r="K13" s="130"/>
      <c r="L13" s="130"/>
      <c r="M13" s="133"/>
    </row>
    <row r="14" spans="1:15" x14ac:dyDescent="0.3">
      <c r="A14" s="141"/>
      <c r="B14" s="115" t="s">
        <v>111</v>
      </c>
      <c r="C14" s="116"/>
      <c r="D14" s="116"/>
      <c r="E14" s="117"/>
      <c r="F14" s="115"/>
      <c r="G14" s="116"/>
      <c r="H14" s="116"/>
      <c r="I14" s="117"/>
      <c r="J14" s="115"/>
      <c r="K14" s="116"/>
      <c r="L14" s="116"/>
      <c r="M14" s="117"/>
    </row>
    <row r="15" spans="1:15" ht="27.6" x14ac:dyDescent="0.3">
      <c r="A15" s="141"/>
      <c r="B15" s="28" t="s">
        <v>126</v>
      </c>
      <c r="C15" s="11">
        <f>VLOOKUP(B15,'База данных'!L19:O21,2,0)</f>
        <v>1.1000000000000001</v>
      </c>
      <c r="D15" s="11" t="str">
        <f>VLOOKUP(B15,'База данных'!L19:O21,3,0)</f>
        <v>м2/м2</v>
      </c>
      <c r="E15" s="29" t="str">
        <f>VLOOKUP(B15,'База данных'!L19:O21,4,0)</f>
        <v xml:space="preserve"> - </v>
      </c>
      <c r="F15" s="23">
        <f>C15*$C8</f>
        <v>11</v>
      </c>
      <c r="G15" s="11" t="s">
        <v>25</v>
      </c>
      <c r="H15" s="31">
        <v>0</v>
      </c>
      <c r="I15" s="24">
        <f>H15*F15</f>
        <v>0</v>
      </c>
      <c r="J15" s="23">
        <f>ROUNDUP(F15/VLOOKUP(B15,'База данных'!$L$19:$Q$21,5,0),0)</f>
        <v>1</v>
      </c>
      <c r="K15" s="11" t="str">
        <f>VLOOKUP(B15,'База данных'!$L$19:$Q$21,6,0)</f>
        <v>рул.</v>
      </c>
      <c r="L15" s="31">
        <v>0</v>
      </c>
      <c r="M15" s="24">
        <f>L15*J15</f>
        <v>0</v>
      </c>
    </row>
    <row r="16" spans="1:15" x14ac:dyDescent="0.3">
      <c r="A16" s="103" t="s">
        <v>80</v>
      </c>
      <c r="B16" s="91" t="s">
        <v>131</v>
      </c>
      <c r="C16" s="11">
        <v>1.03</v>
      </c>
      <c r="D16" s="11" t="s">
        <v>23</v>
      </c>
      <c r="E16" s="29">
        <f>C6</f>
        <v>150</v>
      </c>
      <c r="F16" s="23">
        <f>C16*$C8</f>
        <v>10.3</v>
      </c>
      <c r="G16" s="11" t="s">
        <v>25</v>
      </c>
      <c r="H16" s="31">
        <v>0</v>
      </c>
      <c r="I16" s="24">
        <f t="shared" ref="I16:I20" si="0">H16*F16</f>
        <v>0</v>
      </c>
      <c r="J16" s="23">
        <f>ROUNDUP(F16*E16/1000,0)</f>
        <v>2</v>
      </c>
      <c r="K16" s="11" t="s">
        <v>27</v>
      </c>
      <c r="L16" s="31">
        <v>0</v>
      </c>
      <c r="M16" s="24">
        <f>L16*J16</f>
        <v>0</v>
      </c>
    </row>
    <row r="17" spans="2:14" x14ac:dyDescent="0.3">
      <c r="B17" s="28" t="str">
        <f>B16 &amp; "(доутепление)"</f>
        <v>Vetonit (Isover) ПРОФИ(доутепление)</v>
      </c>
      <c r="C17" s="11">
        <f>IF(C7=0,"0",1.03)</f>
        <v>1.03</v>
      </c>
      <c r="D17" s="11" t="s">
        <v>23</v>
      </c>
      <c r="E17" s="29">
        <f>C7</f>
        <v>50</v>
      </c>
      <c r="F17" s="23">
        <f>C17*C8</f>
        <v>10.3</v>
      </c>
      <c r="G17" s="11" t="str">
        <f>G16</f>
        <v>м2</v>
      </c>
      <c r="H17" s="31">
        <v>0</v>
      </c>
      <c r="I17" s="24">
        <f>H17*F17</f>
        <v>0</v>
      </c>
      <c r="J17" s="23">
        <f>ROUNDUP(F17*E17/1000,0)</f>
        <v>1</v>
      </c>
      <c r="K17" s="11" t="s">
        <v>27</v>
      </c>
      <c r="L17" s="31">
        <v>0</v>
      </c>
      <c r="M17" s="24">
        <f>L17*J17</f>
        <v>0</v>
      </c>
      <c r="N17" s="4"/>
    </row>
    <row r="18" spans="2:14" ht="27.6" x14ac:dyDescent="0.3">
      <c r="B18" s="28" t="str">
        <f>IF(C3="Оптимальная","Пароизоляционная мембрана Vetonit (Isover) Паранет В (рул.=70 м2)","Пароизоляционная мембрана ISOVER Гидранет Д (рул.=70 м2)")</f>
        <v>Пароизоляционная мембрана Vetonit (Isover) Паранет В (рул.=70 м2)</v>
      </c>
      <c r="C18" s="11">
        <v>1.1000000000000001</v>
      </c>
      <c r="D18" s="11" t="s">
        <v>23</v>
      </c>
      <c r="E18" s="29" t="s">
        <v>24</v>
      </c>
      <c r="F18" s="23">
        <f>C18*$C8</f>
        <v>11</v>
      </c>
      <c r="G18" s="11" t="s">
        <v>25</v>
      </c>
      <c r="H18" s="31">
        <v>0</v>
      </c>
      <c r="I18" s="24">
        <f t="shared" si="0"/>
        <v>0</v>
      </c>
      <c r="J18" s="23">
        <f>ROUNDUP(F18/70,0)</f>
        <v>1</v>
      </c>
      <c r="K18" s="11" t="s">
        <v>26</v>
      </c>
      <c r="L18" s="31">
        <v>0</v>
      </c>
      <c r="M18" s="24">
        <f>L18*J18</f>
        <v>0</v>
      </c>
    </row>
    <row r="19" spans="2:14" ht="27.6" x14ac:dyDescent="0.3">
      <c r="B19" s="28" t="s">
        <v>129</v>
      </c>
      <c r="C19" s="11">
        <v>2.2000000000000002</v>
      </c>
      <c r="D19" s="11" t="s">
        <v>30</v>
      </c>
      <c r="E19" s="29" t="s">
        <v>24</v>
      </c>
      <c r="F19" s="23">
        <f>C19*$C8</f>
        <v>22</v>
      </c>
      <c r="G19" s="11" t="s">
        <v>31</v>
      </c>
      <c r="H19" s="31">
        <v>0</v>
      </c>
      <c r="I19" s="24">
        <f t="shared" si="0"/>
        <v>0</v>
      </c>
      <c r="J19" s="23">
        <f>ROUNDUP(F19/20,0)</f>
        <v>2</v>
      </c>
      <c r="K19" s="11" t="s">
        <v>26</v>
      </c>
      <c r="L19" s="31">
        <v>0</v>
      </c>
      <c r="M19" s="24">
        <f>L19*J19</f>
        <v>0</v>
      </c>
    </row>
    <row r="20" spans="2:14" ht="28.2" thickBot="1" x14ac:dyDescent="0.35">
      <c r="B20" s="28" t="s">
        <v>105</v>
      </c>
      <c r="C20" s="11">
        <f>0.42*0.2</f>
        <v>8.4000000000000005E-2</v>
      </c>
      <c r="D20" s="97" t="s">
        <v>32</v>
      </c>
      <c r="E20" s="99" t="s">
        <v>24</v>
      </c>
      <c r="F20" s="96">
        <f>C20*$C8</f>
        <v>0.84000000000000008</v>
      </c>
      <c r="G20" s="97" t="s">
        <v>33</v>
      </c>
      <c r="H20" s="98">
        <v>0</v>
      </c>
      <c r="I20" s="85">
        <f t="shared" si="0"/>
        <v>0</v>
      </c>
      <c r="J20" s="96">
        <f>F20</f>
        <v>0.84000000000000008</v>
      </c>
      <c r="K20" s="11" t="s">
        <v>106</v>
      </c>
      <c r="L20" s="98">
        <v>0</v>
      </c>
      <c r="M20" s="85">
        <f>J20*L20</f>
        <v>0</v>
      </c>
    </row>
    <row r="21" spans="2:14" x14ac:dyDescent="0.3">
      <c r="B21" s="86"/>
      <c r="C21" s="87"/>
      <c r="D21" s="87"/>
      <c r="E21" s="87"/>
      <c r="F21" s="87"/>
      <c r="G21" s="87"/>
      <c r="H21" s="88"/>
      <c r="I21" s="89"/>
      <c r="J21" s="87"/>
      <c r="K21" s="87"/>
      <c r="L21" s="88"/>
      <c r="M21" s="90"/>
      <c r="N21" s="4"/>
    </row>
    <row r="22" spans="2:14" x14ac:dyDescent="0.3">
      <c r="J22" s="155" t="s">
        <v>79</v>
      </c>
      <c r="K22" s="155"/>
      <c r="L22" s="155"/>
      <c r="M22" s="84">
        <f>M15+M16+M17+M18+M19+M20</f>
        <v>0</v>
      </c>
      <c r="N22" s="84"/>
    </row>
    <row r="23" spans="2:14" x14ac:dyDescent="0.3">
      <c r="J23" s="125" t="s">
        <v>48</v>
      </c>
      <c r="K23" s="125"/>
      <c r="L23" s="125"/>
      <c r="M23" s="95">
        <v>0</v>
      </c>
      <c r="N23" s="95"/>
    </row>
    <row r="24" spans="2:14" x14ac:dyDescent="0.3">
      <c r="J24" s="110" t="s">
        <v>56</v>
      </c>
      <c r="K24" s="110"/>
      <c r="L24" s="110"/>
      <c r="M24" s="60">
        <f>M22*$M$23/100</f>
        <v>0</v>
      </c>
      <c r="N24" s="60"/>
    </row>
    <row r="25" spans="2:14" x14ac:dyDescent="0.3">
      <c r="I25" s="110" t="s">
        <v>57</v>
      </c>
      <c r="J25" s="110"/>
      <c r="K25" s="110"/>
      <c r="L25" s="110"/>
      <c r="M25" s="60">
        <f>M22-M24</f>
        <v>0</v>
      </c>
      <c r="N25" s="60"/>
    </row>
    <row r="26" spans="2:14" x14ac:dyDescent="0.3">
      <c r="J26" s="110" t="s">
        <v>103</v>
      </c>
      <c r="K26" s="110"/>
      <c r="L26" s="110"/>
      <c r="M26" s="108">
        <v>0</v>
      </c>
      <c r="N26" s="108">
        <v>0</v>
      </c>
    </row>
    <row r="27" spans="2:14" x14ac:dyDescent="0.3">
      <c r="J27" s="111" t="s">
        <v>104</v>
      </c>
      <c r="K27" s="111"/>
      <c r="L27" s="111"/>
      <c r="M27" s="109">
        <f>SUM(M25+M26)</f>
        <v>0</v>
      </c>
      <c r="N27" s="109">
        <f>SUM(N25+N26)</f>
        <v>0</v>
      </c>
    </row>
  </sheetData>
  <sheetProtection formatCells="0" formatColumns="0" formatRows="0" insertColumns="0" insertRows="0" deleteColumns="0" deleteRows="0"/>
  <mergeCells count="27">
    <mergeCell ref="A2:H2"/>
    <mergeCell ref="A10:A15"/>
    <mergeCell ref="B9:M10"/>
    <mergeCell ref="C3:E3"/>
    <mergeCell ref="B4:E4"/>
    <mergeCell ref="C5:E5"/>
    <mergeCell ref="C6:E6"/>
    <mergeCell ref="C7:E7"/>
    <mergeCell ref="C8:E8"/>
    <mergeCell ref="J5:M5"/>
    <mergeCell ref="J6:M6"/>
    <mergeCell ref="J7:M7"/>
    <mergeCell ref="J8:M8"/>
    <mergeCell ref="A4:A8"/>
    <mergeCell ref="B11:M11"/>
    <mergeCell ref="B13:E13"/>
    <mergeCell ref="F13:I13"/>
    <mergeCell ref="J13:M13"/>
    <mergeCell ref="B14:E14"/>
    <mergeCell ref="F14:I14"/>
    <mergeCell ref="J14:M14"/>
    <mergeCell ref="J26:L26"/>
    <mergeCell ref="J27:L27"/>
    <mergeCell ref="J22:L22"/>
    <mergeCell ref="J23:L23"/>
    <mergeCell ref="J24:L24"/>
    <mergeCell ref="I25:L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'База данных'!$G$3:$G$5</xm:f>
          </x14:formula1>
          <xm:sqref>C6</xm:sqref>
        </x14:dataValidation>
        <x14:dataValidation type="list" allowBlank="1" showInputMessage="1" showErrorMessage="1" xr:uid="{00000000-0002-0000-0200-000000000000}">
          <x14:formula1>
            <xm:f>'База данных'!$J$26:$J$31</xm:f>
          </x14:formula1>
          <xm:sqref>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39"/>
  <sheetViews>
    <sheetView topLeftCell="B1" workbookViewId="0">
      <selection activeCell="L35" sqref="L35"/>
    </sheetView>
  </sheetViews>
  <sheetFormatPr defaultColWidth="8.6640625" defaultRowHeight="14.4" x14ac:dyDescent="0.3"/>
  <cols>
    <col min="1" max="1" width="8.6640625" style="1"/>
    <col min="2" max="2" width="21.109375" style="1" customWidth="1"/>
    <col min="3" max="3" width="38.5546875" style="6" customWidth="1"/>
    <col min="4" max="4" width="12.88671875" style="6" customWidth="1"/>
    <col min="5" max="6" width="8.6640625" style="1"/>
    <col min="7" max="7" width="19.44140625" style="1" customWidth="1"/>
    <col min="8" max="8" width="24.88671875" style="1" customWidth="1"/>
    <col min="9" max="9" width="8.6640625" style="1" customWidth="1"/>
    <col min="10" max="10" width="24.109375" style="1" customWidth="1"/>
    <col min="11" max="11" width="8.6640625" style="1"/>
    <col min="12" max="12" width="18.5546875" style="1" customWidth="1"/>
    <col min="13" max="13" width="11.5546875" style="1" customWidth="1"/>
    <col min="14" max="14" width="11.88671875" style="1" customWidth="1"/>
    <col min="15" max="16384" width="8.6640625" style="1"/>
  </cols>
  <sheetData>
    <row r="1" spans="2:20" x14ac:dyDescent="0.3">
      <c r="L1" s="7">
        <v>1</v>
      </c>
      <c r="M1" s="9">
        <v>2</v>
      </c>
      <c r="N1" s="9">
        <v>3</v>
      </c>
      <c r="O1" s="9">
        <v>4</v>
      </c>
      <c r="P1" s="9">
        <v>5</v>
      </c>
      <c r="Q1" s="9">
        <v>6</v>
      </c>
      <c r="R1" s="9">
        <v>7</v>
      </c>
      <c r="S1" s="6"/>
      <c r="T1" s="6"/>
    </row>
    <row r="2" spans="2:20" x14ac:dyDescent="0.3">
      <c r="B2" s="4" t="s">
        <v>0</v>
      </c>
      <c r="C2" s="5" t="s">
        <v>2</v>
      </c>
      <c r="D2" s="4" t="s">
        <v>1</v>
      </c>
      <c r="G2" s="3" t="s">
        <v>5</v>
      </c>
      <c r="I2" s="3" t="s">
        <v>8</v>
      </c>
      <c r="J2" s="3" t="s">
        <v>38</v>
      </c>
      <c r="K2" s="3"/>
      <c r="L2" s="7" t="s">
        <v>46</v>
      </c>
      <c r="M2" s="7" t="s">
        <v>114</v>
      </c>
      <c r="N2" s="7" t="s">
        <v>122</v>
      </c>
      <c r="O2" s="7" t="s">
        <v>123</v>
      </c>
      <c r="P2" s="7" t="s">
        <v>124</v>
      </c>
      <c r="Q2" s="7" t="s">
        <v>17</v>
      </c>
      <c r="R2" s="7" t="s">
        <v>18</v>
      </c>
      <c r="S2" s="1" t="s">
        <v>46</v>
      </c>
    </row>
    <row r="3" spans="2:20" x14ac:dyDescent="0.3">
      <c r="B3" s="1" t="s">
        <v>3</v>
      </c>
      <c r="C3" s="6">
        <v>170</v>
      </c>
      <c r="D3" s="6">
        <v>200</v>
      </c>
      <c r="G3" s="18" t="s">
        <v>24</v>
      </c>
      <c r="I3" s="1" t="s">
        <v>9</v>
      </c>
      <c r="J3" s="1" t="s">
        <v>112</v>
      </c>
      <c r="K3" s="1" t="s">
        <v>46</v>
      </c>
      <c r="L3" s="8" t="s">
        <v>9</v>
      </c>
      <c r="M3" s="10">
        <v>1</v>
      </c>
      <c r="N3" s="9">
        <v>2</v>
      </c>
      <c r="O3" s="9">
        <v>1.1000000000000001</v>
      </c>
      <c r="P3" s="9">
        <v>1.1000000000000001</v>
      </c>
      <c r="Q3" s="9" t="s">
        <v>36</v>
      </c>
      <c r="R3" s="9" t="s">
        <v>36</v>
      </c>
      <c r="S3" s="6"/>
      <c r="T3" s="6"/>
    </row>
    <row r="4" spans="2:20" x14ac:dyDescent="0.3">
      <c r="B4" s="1" t="s">
        <v>4</v>
      </c>
      <c r="C4" s="6">
        <v>220</v>
      </c>
      <c r="D4" s="6">
        <v>250</v>
      </c>
      <c r="G4" s="1">
        <v>150</v>
      </c>
      <c r="I4" s="1" t="s">
        <v>10</v>
      </c>
      <c r="J4" s="1" t="s">
        <v>113</v>
      </c>
      <c r="K4" s="1" t="s">
        <v>46</v>
      </c>
      <c r="L4" s="8" t="s">
        <v>10</v>
      </c>
      <c r="M4" s="10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6"/>
      <c r="T4" s="6"/>
    </row>
    <row r="5" spans="2:20" x14ac:dyDescent="0.3">
      <c r="B5" s="12" t="s">
        <v>47</v>
      </c>
      <c r="C5" s="13">
        <v>180</v>
      </c>
      <c r="D5" s="13">
        <v>200</v>
      </c>
      <c r="G5" s="1">
        <v>200</v>
      </c>
      <c r="M5" s="4"/>
    </row>
    <row r="6" spans="2:20" x14ac:dyDescent="0.3">
      <c r="G6" s="3"/>
      <c r="M6" s="4"/>
    </row>
    <row r="7" spans="2:20" x14ac:dyDescent="0.3">
      <c r="H7" s="1" t="s">
        <v>46</v>
      </c>
      <c r="L7" s="7">
        <v>1</v>
      </c>
      <c r="M7" s="7">
        <v>2</v>
      </c>
      <c r="N7" s="10">
        <v>3</v>
      </c>
      <c r="O7" s="7">
        <v>4</v>
      </c>
      <c r="P7" s="7">
        <v>5</v>
      </c>
    </row>
    <row r="8" spans="2:20" x14ac:dyDescent="0.3">
      <c r="H8" s="1" t="s">
        <v>46</v>
      </c>
      <c r="L8" s="7"/>
      <c r="M8" s="7" t="s">
        <v>37</v>
      </c>
      <c r="N8" s="10" t="s">
        <v>112</v>
      </c>
      <c r="O8" s="7" t="s">
        <v>125</v>
      </c>
      <c r="P8" s="7" t="s">
        <v>39</v>
      </c>
      <c r="Q8" s="1" t="s">
        <v>46</v>
      </c>
    </row>
    <row r="9" spans="2:20" x14ac:dyDescent="0.3">
      <c r="L9" s="8" t="s">
        <v>9</v>
      </c>
      <c r="M9" s="7">
        <v>0.2</v>
      </c>
      <c r="N9" s="7">
        <v>0.3</v>
      </c>
      <c r="O9" s="7">
        <v>0.9</v>
      </c>
      <c r="P9" s="7">
        <v>1</v>
      </c>
    </row>
    <row r="10" spans="2:20" x14ac:dyDescent="0.3">
      <c r="G10" s="3" t="s">
        <v>14</v>
      </c>
      <c r="H10" s="3" t="s">
        <v>34</v>
      </c>
      <c r="L10" s="8" t="s">
        <v>10</v>
      </c>
      <c r="M10" s="7">
        <v>0</v>
      </c>
      <c r="N10" s="7">
        <v>0</v>
      </c>
      <c r="O10" s="7">
        <v>0</v>
      </c>
      <c r="P10" s="7">
        <v>0</v>
      </c>
    </row>
    <row r="11" spans="2:20" x14ac:dyDescent="0.3">
      <c r="G11" s="1" t="s">
        <v>114</v>
      </c>
      <c r="H11" s="1">
        <v>15</v>
      </c>
    </row>
    <row r="12" spans="2:20" x14ac:dyDescent="0.3">
      <c r="G12" s="1" t="s">
        <v>115</v>
      </c>
      <c r="H12" s="1">
        <v>12.5</v>
      </c>
    </row>
    <row r="13" spans="2:20" x14ac:dyDescent="0.3">
      <c r="G13" s="1" t="s">
        <v>116</v>
      </c>
      <c r="H13" s="1">
        <v>12.5</v>
      </c>
    </row>
    <row r="14" spans="2:20" x14ac:dyDescent="0.3">
      <c r="G14" s="1" t="s">
        <v>117</v>
      </c>
      <c r="H14" s="12">
        <v>15</v>
      </c>
    </row>
    <row r="15" spans="2:20" x14ac:dyDescent="0.3">
      <c r="G15" s="1" t="s">
        <v>118</v>
      </c>
      <c r="H15" s="12">
        <v>15</v>
      </c>
    </row>
    <row r="16" spans="2:20" x14ac:dyDescent="0.3">
      <c r="G16" s="1" t="s">
        <v>73</v>
      </c>
      <c r="H16" s="12">
        <v>12.5</v>
      </c>
    </row>
    <row r="18" spans="7:18" x14ac:dyDescent="0.3">
      <c r="G18" s="1" t="s">
        <v>6</v>
      </c>
      <c r="H18" s="1" t="s">
        <v>35</v>
      </c>
    </row>
    <row r="19" spans="7:18" x14ac:dyDescent="0.3">
      <c r="G19" s="1">
        <v>0</v>
      </c>
      <c r="H19" s="1" t="s">
        <v>24</v>
      </c>
      <c r="J19" s="66" t="s">
        <v>98</v>
      </c>
      <c r="M19" s="1" t="s">
        <v>67</v>
      </c>
      <c r="N19" s="1" t="s">
        <v>68</v>
      </c>
      <c r="O19" s="1" t="s">
        <v>69</v>
      </c>
      <c r="P19" s="1" t="s">
        <v>99</v>
      </c>
      <c r="Q19" s="1" t="s">
        <v>70</v>
      </c>
      <c r="R19" s="1" t="s">
        <v>71</v>
      </c>
    </row>
    <row r="20" spans="7:18" x14ac:dyDescent="0.3">
      <c r="G20" s="1">
        <v>50</v>
      </c>
      <c r="H20" s="1" t="s">
        <v>119</v>
      </c>
      <c r="I20" s="1" t="s">
        <v>46</v>
      </c>
      <c r="J20" s="67" t="str">
        <f>IF('Каркасная стена'!$C$3="Базовая","-","Vetonit (Isover) Каркас П34 565 мм")</f>
        <v>Vetonit (Isover) Каркас П34 565 мм</v>
      </c>
      <c r="L20" s="1" t="s">
        <v>126</v>
      </c>
      <c r="M20" s="1">
        <v>1.1000000000000001</v>
      </c>
      <c r="N20" s="1" t="s">
        <v>23</v>
      </c>
      <c r="O20" s="1" t="s">
        <v>24</v>
      </c>
      <c r="P20" s="1">
        <v>70</v>
      </c>
      <c r="Q20" s="1" t="s">
        <v>26</v>
      </c>
      <c r="R20" s="1">
        <v>2.2000000000000002</v>
      </c>
    </row>
    <row r="21" spans="7:18" x14ac:dyDescent="0.3">
      <c r="G21" s="1">
        <v>100</v>
      </c>
      <c r="H21" s="1" t="s">
        <v>119</v>
      </c>
      <c r="I21" s="1" t="s">
        <v>46</v>
      </c>
      <c r="J21" s="67" t="str">
        <f>IF('Каркасная стена'!$C$3="Базовая","Vetonit (Isover) Тепло и Тихо Плита","-")</f>
        <v>-</v>
      </c>
      <c r="L21" s="1" t="s">
        <v>127</v>
      </c>
      <c r="M21" s="1">
        <v>1</v>
      </c>
      <c r="N21" s="1" t="s">
        <v>23</v>
      </c>
      <c r="O21" s="1">
        <v>9.5</v>
      </c>
      <c r="P21" s="1">
        <v>3</v>
      </c>
      <c r="Q21" s="1" t="s">
        <v>29</v>
      </c>
      <c r="R21" s="1">
        <v>1.1000000000000001</v>
      </c>
    </row>
    <row r="22" spans="7:18" x14ac:dyDescent="0.3">
      <c r="G22" s="1">
        <v>150</v>
      </c>
      <c r="H22" s="1" t="s">
        <v>119</v>
      </c>
      <c r="I22" s="1" t="s">
        <v>46</v>
      </c>
      <c r="J22" s="67" t="str">
        <f>IF('Каркасная стена'!$C$3="Базовая","Vetonit (Isover) Тепло и Тихо Стена","-")</f>
        <v>-</v>
      </c>
    </row>
    <row r="23" spans="7:18" x14ac:dyDescent="0.3">
      <c r="J23" s="67" t="str">
        <f>IF('Каркасная стена'!$C$3="Базовая","Vetonit (Isover) Тепло и Тихо Стена+","-")</f>
        <v>-</v>
      </c>
    </row>
    <row r="24" spans="7:18" x14ac:dyDescent="0.3">
      <c r="G24" s="1" t="s">
        <v>49</v>
      </c>
      <c r="H24"/>
      <c r="J24" s="67" t="str">
        <f>IF('Каркасная стена'!$C$3="Базовая","Vetonit (Isover) Тёплые стены Стронг","-")</f>
        <v>-</v>
      </c>
    </row>
    <row r="25" spans="7:18" x14ac:dyDescent="0.3">
      <c r="G25" s="14" t="s">
        <v>50</v>
      </c>
      <c r="H25" s="15"/>
      <c r="J25" s="67" t="str">
        <f>IF('Каркасная стена'!$C$3="Базовая","Vetonit (Isover) Каркас П34","-")</f>
        <v>-</v>
      </c>
    </row>
    <row r="26" spans="7:18" x14ac:dyDescent="0.3">
      <c r="G26" s="1" t="s">
        <v>90</v>
      </c>
      <c r="H26" s="16"/>
      <c r="J26" s="67" t="str">
        <f>IF('Пол и потолок'!C3="Оптимальная","Vetonit (Isover) Тёплая Крыша Стронг","-")</f>
        <v>Vetonit (Isover) Тёплая Крыша Стронг</v>
      </c>
    </row>
    <row r="27" spans="7:18" x14ac:dyDescent="0.3">
      <c r="G27" s="12"/>
      <c r="J27" s="67" t="str">
        <f>IF('Пол и потолок'!C3="Оптимальная","Vetonit (Isover) Каркас М34","-")</f>
        <v>Vetonit (Isover) Каркас М34</v>
      </c>
    </row>
    <row r="28" spans="7:18" x14ac:dyDescent="0.3">
      <c r="J28" s="67" t="str">
        <f>IF('Пол и потолок'!C3="Оптимальная","-","Vetonit(Isover) Тепло и Тихо Крыша")</f>
        <v>-</v>
      </c>
    </row>
    <row r="29" spans="7:18" x14ac:dyDescent="0.3">
      <c r="J29" s="67" t="str">
        <f>IF('Пол и потолок'!C3="Оптимальная","Vetonit (Isover) ПРОФИ","-")</f>
        <v>Vetonit (Isover) ПРОФИ</v>
      </c>
    </row>
    <row r="30" spans="7:18" x14ac:dyDescent="0.3">
      <c r="J30" s="67" t="str">
        <f>IF('Пол и потолок'!C3="Оптимальная","Vetonit (Isover) Каркас М37","-")</f>
        <v>Vetonit (Isover) Каркас М37</v>
      </c>
    </row>
    <row r="31" spans="7:18" x14ac:dyDescent="0.3">
      <c r="J31" s="67" t="str">
        <f>IF('Пол и потолок'!C3="Оптимальная","-","Vetonit (Isover) Тепло и Тихо Полы и Перекрытия")</f>
        <v>-</v>
      </c>
    </row>
    <row r="32" spans="7:18" x14ac:dyDescent="0.3">
      <c r="J32" s="67" t="s">
        <v>120</v>
      </c>
    </row>
    <row r="33" spans="7:14" x14ac:dyDescent="0.3">
      <c r="J33" s="67" t="s">
        <v>121</v>
      </c>
    </row>
    <row r="34" spans="7:14" x14ac:dyDescent="0.3">
      <c r="J34" s="67"/>
    </row>
    <row r="38" spans="7:14" x14ac:dyDescent="0.3">
      <c r="H38" s="6">
        <v>2</v>
      </c>
      <c r="I38" s="6">
        <v>3</v>
      </c>
      <c r="J38" s="6">
        <v>4</v>
      </c>
      <c r="K38" s="6">
        <v>5</v>
      </c>
      <c r="L38" s="6">
        <v>6</v>
      </c>
      <c r="M38" s="6">
        <v>7</v>
      </c>
      <c r="N38" s="6">
        <v>8</v>
      </c>
    </row>
    <row r="39" spans="7:14" x14ac:dyDescent="0.3">
      <c r="G39" s="1" t="s">
        <v>15</v>
      </c>
      <c r="H39" s="11">
        <v>1.03</v>
      </c>
      <c r="I39" s="11" t="s">
        <v>23</v>
      </c>
      <c r="J39" s="11">
        <f>'Тёплая мансарда'!C10</f>
        <v>100</v>
      </c>
      <c r="K39" s="11">
        <f>'Тёплая мансарда'!C11*'База данных'!H39</f>
        <v>103</v>
      </c>
      <c r="L39" s="11" t="s">
        <v>25</v>
      </c>
      <c r="M39" s="11">
        <f>ROUNDUP(K39*J39/1000,0)</f>
        <v>11</v>
      </c>
      <c r="N39" s="11" t="s">
        <v>27</v>
      </c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Тёплая мансарда</vt:lpstr>
      <vt:lpstr>Каркасная стена</vt:lpstr>
      <vt:lpstr>Пол и потолок</vt:lpstr>
      <vt:lpstr>База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2025-04-04T11:49:59Z</dcterms:modified>
</cp:coreProperties>
</file>